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mcswia01\Desktop\"/>
    </mc:Choice>
  </mc:AlternateContent>
  <xr:revisionPtr revIDLastSave="0" documentId="13_ncr:1_{6EDA40F2-FAD2-4B14-ACDF-94830EE0ACC3}" xr6:coauthVersionLast="47" xr6:coauthVersionMax="47" xr10:uidLastSave="{00000000-0000-0000-0000-000000000000}"/>
  <bookViews>
    <workbookView xWindow="-120" yWindow="-16320" windowWidth="29040" windowHeight="15720" xr2:uid="{A83AEEF4-A39F-4204-A9BC-27FD5D9A6EFF}"/>
  </bookViews>
  <sheets>
    <sheet name="Cover Page" sheetId="18" r:id="rId1"/>
    <sheet name="Dashboard" sheetId="14" r:id="rId2"/>
    <sheet name="Example - Application of LRMC" sheetId="17" r:id="rId3"/>
    <sheet name="Wastewater LRMC" sheetId="13" r:id="rId4"/>
    <sheet name="Expenditure calculations" sheetId="16" r:id="rId5"/>
    <sheet name="Assumptions" sheetId="9" r:id="rId6"/>
  </sheets>
  <externalReferences>
    <externalReference r:id="rId7"/>
  </externalReferences>
  <definedNames>
    <definedName name="_Hlk162262613" localSheetId="0">'Cover Page'!$A$30</definedName>
    <definedName name="_Hlk162262844" localSheetId="0">'Cover Page'!$A$32</definedName>
    <definedName name="_Ref162269366" localSheetId="0">'Cover Page'!$A$41</definedName>
    <definedName name="_Ref162269415" localSheetId="0">'Cover Page'!$A$38</definedName>
    <definedName name="_Toc172466739" localSheetId="0">'Cover Page'!$A$7</definedName>
    <definedName name="_Toc172466740" localSheetId="0">'Cover Page'!$A$21</definedName>
    <definedName name="asset1name">Assumptions!$C$78</definedName>
    <definedName name="asset2name">Assumptions!$C$79</definedName>
    <definedName name="asset3name">Assumptions!$C$80</definedName>
    <definedName name="assetlives">Assumptions!$F$78:$F$80</definedName>
    <definedName name="assetnames">Assumptions!$C$78:$C$80</definedName>
    <definedName name="baselinecapex">Assumptions!$H$86:$AL$88</definedName>
    <definedName name="baselineopex">Assumptions!$H$95:$AL$97</definedName>
    <definedName name="baseyear">Assumptions!$H$19</definedName>
    <definedName name="capex">'Expenditure calculations'!$J$25:$AN$27</definedName>
    <definedName name="costsensitivity">Dashboard!$F$14</definedName>
    <definedName name="days">Assumptions!$H$26:$BB$26</definedName>
    <definedName name="dischargeexistingcost">Assumptions!$H$44:$AK$44</definedName>
    <definedName name="dischargerate">Assumptions!$H$13</definedName>
    <definedName name="dischargevolumes">Assumptions!$H$47:$AK$49</definedName>
    <definedName name="discountrate">Dashboard!$F$11</definedName>
    <definedName name="firstfinyearend">Assumptions!$H$16</definedName>
    <definedName name="firstfinyearstart">Assumptions!$H$15</definedName>
    <definedName name="highvolumescenario">[1]Dashboard!$F$23</definedName>
    <definedName name="leadtimes">Assumptions!$E$78:$E$80</definedName>
    <definedName name="lowvolumescenario">[1]Dashboard!$F$22</definedName>
    <definedName name="LRMCapproach">'Example - Application of LRMC'!$D$4</definedName>
    <definedName name="LRMCnames">Dashboard!$D$32:$F$32</definedName>
    <definedName name="LRMCvalues">Dashboard!$D$33:$F$35</definedName>
    <definedName name="ModelFYStart">Assumptions!$H$17</definedName>
    <definedName name="networkexistingcost">Assumptions!$H$30:$AK$30</definedName>
    <definedName name="networkvolumes">Assumptions!$H$33:$AK$35</definedName>
    <definedName name="opex">'Expenditure calculations'!$J$33:$AN$35</definedName>
    <definedName name="shockdischarge">Dashboard!$F$19</definedName>
    <definedName name="shocknetwork">Dashboard!$F$17</definedName>
    <definedName name="shockSTP">Dashboard!$F$18</definedName>
    <definedName name="STPexistingcost">Assumptions!$H$37:$AK$37</definedName>
    <definedName name="STPvolumes">Assumptions!$H$40:$AK$42</definedName>
    <definedName name="tippingpointnames">Dashboard!$C$25:$C$27</definedName>
    <definedName name="tippingpoints">Dashboard!$F$25:$F$27</definedName>
    <definedName name="tplus">Assumptions!$H$85:$AL$85</definedName>
    <definedName name="volumesensitivity">Dashboard!$F$13</definedName>
    <definedName name="volumesnames">Assumptions!$C$33:$C$35</definedName>
    <definedName name="watersaved">'Example - Application of LRMC'!$G$41:$AJ$43</definedName>
    <definedName name="watersavednames">'Example - Application of LRMC'!$C$41:$C$43</definedName>
    <definedName name="years">Assumptions!$H$23:$BB$23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6" i="9" l="1"/>
  <c r="I56" i="9"/>
  <c r="J56" i="9"/>
  <c r="K56" i="9"/>
  <c r="L56" i="9"/>
  <c r="M56" i="9"/>
  <c r="N56" i="9"/>
  <c r="O56" i="9"/>
  <c r="P56" i="9"/>
  <c r="Q56" i="9"/>
  <c r="R56" i="9"/>
  <c r="S56" i="9"/>
  <c r="T56" i="9"/>
  <c r="U56" i="9"/>
  <c r="V56" i="9"/>
  <c r="W56" i="9"/>
  <c r="X56" i="9"/>
  <c r="Y56" i="9"/>
  <c r="Z56" i="9"/>
  <c r="AA56" i="9"/>
  <c r="AB56" i="9"/>
  <c r="AC56" i="9"/>
  <c r="AD56" i="9"/>
  <c r="AE56" i="9"/>
  <c r="AF56" i="9"/>
  <c r="AG56" i="9"/>
  <c r="AH56" i="9"/>
  <c r="AI56" i="9"/>
  <c r="AJ56" i="9"/>
  <c r="AK56" i="9"/>
  <c r="H62" i="9"/>
  <c r="I62" i="9"/>
  <c r="J62" i="9"/>
  <c r="K62" i="9"/>
  <c r="L62" i="9"/>
  <c r="M62" i="9"/>
  <c r="N62" i="9"/>
  <c r="O62" i="9"/>
  <c r="P62" i="9"/>
  <c r="Q62" i="9"/>
  <c r="R62" i="9"/>
  <c r="S62" i="9"/>
  <c r="T62" i="9"/>
  <c r="U62" i="9"/>
  <c r="V62" i="9"/>
  <c r="W62" i="9"/>
  <c r="X62" i="9"/>
  <c r="Y62" i="9"/>
  <c r="Z62" i="9"/>
  <c r="AA62" i="9"/>
  <c r="AB62" i="9"/>
  <c r="AC62" i="9"/>
  <c r="AD62" i="9"/>
  <c r="AE62" i="9"/>
  <c r="AF62" i="9"/>
  <c r="AG62" i="9"/>
  <c r="AH62" i="9"/>
  <c r="AI62" i="9"/>
  <c r="AJ62" i="9"/>
  <c r="AK62" i="9"/>
  <c r="H68" i="9"/>
  <c r="I68" i="9"/>
  <c r="J68" i="9"/>
  <c r="K68" i="9"/>
  <c r="L68" i="9"/>
  <c r="M68" i="9"/>
  <c r="N68" i="9"/>
  <c r="O68" i="9"/>
  <c r="P68" i="9"/>
  <c r="Q68" i="9"/>
  <c r="R68" i="9"/>
  <c r="S68" i="9"/>
  <c r="T68" i="9"/>
  <c r="U68" i="9"/>
  <c r="V68" i="9"/>
  <c r="W68" i="9"/>
  <c r="X68" i="9"/>
  <c r="Y68" i="9"/>
  <c r="Z68" i="9"/>
  <c r="AA68" i="9"/>
  <c r="AB68" i="9"/>
  <c r="AC68" i="9"/>
  <c r="AD68" i="9"/>
  <c r="AE68" i="9"/>
  <c r="AF68" i="9"/>
  <c r="AG68" i="9"/>
  <c r="AH68" i="9"/>
  <c r="AI68" i="9"/>
  <c r="AJ68" i="9"/>
  <c r="AK68" i="9"/>
  <c r="C17" i="14" l="1"/>
  <c r="J13" i="16"/>
  <c r="H33" i="9"/>
  <c r="I26" i="9"/>
  <c r="I25" i="9"/>
  <c r="I24" i="9"/>
  <c r="I23" i="9"/>
  <c r="C37" i="9"/>
  <c r="C44" i="9"/>
  <c r="C30" i="9"/>
  <c r="G8" i="17"/>
  <c r="H8" i="17" s="1"/>
  <c r="I8" i="17" s="1"/>
  <c r="J8" i="17" s="1"/>
  <c r="K8" i="17" s="1"/>
  <c r="L8" i="17" s="1"/>
  <c r="M8" i="17" s="1"/>
  <c r="N8" i="17" s="1"/>
  <c r="O8" i="17" s="1"/>
  <c r="P8" i="17" s="1"/>
  <c r="Q8" i="17" s="1"/>
  <c r="R8" i="17" s="1"/>
  <c r="S8" i="17" s="1"/>
  <c r="T8" i="17" s="1"/>
  <c r="U8" i="17" s="1"/>
  <c r="V8" i="17" s="1"/>
  <c r="W8" i="17" s="1"/>
  <c r="X8" i="17" s="1"/>
  <c r="Y8" i="17" s="1"/>
  <c r="Z8" i="17" s="1"/>
  <c r="AA8" i="17" s="1"/>
  <c r="AB8" i="17" s="1"/>
  <c r="AC8" i="17" s="1"/>
  <c r="AD8" i="17" s="1"/>
  <c r="AE8" i="17" s="1"/>
  <c r="AF8" i="17" s="1"/>
  <c r="AG8" i="17" s="1"/>
  <c r="AH8" i="17" s="1"/>
  <c r="AI8" i="17" s="1"/>
  <c r="AJ8" i="17" s="1"/>
  <c r="G7" i="17"/>
  <c r="H7" i="17" s="1"/>
  <c r="I7" i="17" s="1"/>
  <c r="J7" i="17" s="1"/>
  <c r="K7" i="17" s="1"/>
  <c r="L7" i="17" s="1"/>
  <c r="M7" i="17" s="1"/>
  <c r="N7" i="17" s="1"/>
  <c r="O7" i="17" s="1"/>
  <c r="P7" i="17" s="1"/>
  <c r="Q7" i="17" s="1"/>
  <c r="R7" i="17" s="1"/>
  <c r="S7" i="17" s="1"/>
  <c r="T7" i="17" s="1"/>
  <c r="U7" i="17" s="1"/>
  <c r="V7" i="17" s="1"/>
  <c r="W7" i="17" s="1"/>
  <c r="X7" i="17" s="1"/>
  <c r="Y7" i="17" s="1"/>
  <c r="Z7" i="17" s="1"/>
  <c r="AA7" i="17" s="1"/>
  <c r="AB7" i="17" s="1"/>
  <c r="AC7" i="17" s="1"/>
  <c r="AD7" i="17" s="1"/>
  <c r="AE7" i="17" s="1"/>
  <c r="AF7" i="17" s="1"/>
  <c r="AG7" i="17" s="1"/>
  <c r="AH7" i="17" s="1"/>
  <c r="AI7" i="17" s="1"/>
  <c r="AJ7" i="17" s="1"/>
  <c r="H35" i="9" l="1"/>
  <c r="H34" i="9"/>
  <c r="I34" i="9" s="1"/>
  <c r="H6" i="17"/>
  <c r="I6" i="17" s="1"/>
  <c r="J6" i="17" s="1"/>
  <c r="K6" i="17" s="1"/>
  <c r="L6" i="17" s="1"/>
  <c r="M6" i="17" s="1"/>
  <c r="N6" i="17" s="1"/>
  <c r="O6" i="17" s="1"/>
  <c r="P6" i="17" s="1"/>
  <c r="Q6" i="17" s="1"/>
  <c r="R6" i="17" s="1"/>
  <c r="S6" i="17" s="1"/>
  <c r="T6" i="17" s="1"/>
  <c r="U6" i="17" s="1"/>
  <c r="V6" i="17" s="1"/>
  <c r="W6" i="17" s="1"/>
  <c r="X6" i="17" s="1"/>
  <c r="Y6" i="17" s="1"/>
  <c r="Z6" i="17" s="1"/>
  <c r="AA6" i="17" s="1"/>
  <c r="AB6" i="17" s="1"/>
  <c r="AC6" i="17" s="1"/>
  <c r="AD6" i="17" s="1"/>
  <c r="AE6" i="17" s="1"/>
  <c r="AF6" i="17" s="1"/>
  <c r="AG6" i="17" s="1"/>
  <c r="AH6" i="17" s="1"/>
  <c r="AI6" i="17" s="1"/>
  <c r="AJ6" i="17" s="1"/>
  <c r="C41" i="17" a="1"/>
  <c r="C41" i="17" s="1"/>
  <c r="C25" i="17"/>
  <c r="C35" i="17" s="1"/>
  <c r="C19" i="17"/>
  <c r="C34" i="17" s="1"/>
  <c r="D29" i="17"/>
  <c r="C28" i="17"/>
  <c r="C29" i="17"/>
  <c r="C27" i="17"/>
  <c r="D23" i="17"/>
  <c r="C22" i="17"/>
  <c r="C23" i="17"/>
  <c r="C21" i="17"/>
  <c r="D17" i="17"/>
  <c r="C13" i="17"/>
  <c r="C33" i="17" s="1"/>
  <c r="C52" i="14" l="1" a="1"/>
  <c r="C52" i="14" s="1"/>
  <c r="C11" i="13" a="1"/>
  <c r="C11" i="13" s="1"/>
  <c r="C33" i="14" s="1"/>
  <c r="B121" i="13"/>
  <c r="C124" i="13" s="1"/>
  <c r="B226" i="13"/>
  <c r="C229" i="13" s="1"/>
  <c r="B15" i="13"/>
  <c r="C18" i="13" s="1"/>
  <c r="C33" i="16" a="1"/>
  <c r="C33" i="16" s="1"/>
  <c r="K33" i="16" s="1"/>
  <c r="C25" i="16" a="1"/>
  <c r="C25" i="16" s="1"/>
  <c r="C19" i="16" a="1"/>
  <c r="C19" i="16" s="1"/>
  <c r="C13" i="16" a="1"/>
  <c r="C13" i="16" s="1"/>
  <c r="H35" i="16"/>
  <c r="H34" i="16"/>
  <c r="H33" i="16"/>
  <c r="H27" i="16"/>
  <c r="H26" i="16"/>
  <c r="H25" i="16"/>
  <c r="H21" i="16"/>
  <c r="H20" i="16"/>
  <c r="H19" i="16"/>
  <c r="H15" i="16"/>
  <c r="H14" i="16"/>
  <c r="H13" i="16"/>
  <c r="K9" i="16"/>
  <c r="L9" i="16" s="1"/>
  <c r="C25" i="14" a="1"/>
  <c r="C25" i="14" s="1"/>
  <c r="C95" i="9" a="1"/>
  <c r="C95" i="9" s="1"/>
  <c r="C86" i="9" a="1"/>
  <c r="C86" i="9" s="1"/>
  <c r="J14" i="16" l="1"/>
  <c r="K13" i="16"/>
  <c r="C35" i="14"/>
  <c r="C34" i="14"/>
  <c r="Z15" i="16"/>
  <c r="AL14" i="16"/>
  <c r="W14" i="16"/>
  <c r="AL13" i="16"/>
  <c r="T13" i="16"/>
  <c r="AM35" i="16"/>
  <c r="AA35" i="16"/>
  <c r="V15" i="16"/>
  <c r="V14" i="16"/>
  <c r="S13" i="16"/>
  <c r="AM15" i="16"/>
  <c r="U15" i="16"/>
  <c r="AJ14" i="16"/>
  <c r="U14" i="16"/>
  <c r="AG13" i="16"/>
  <c r="R13" i="16"/>
  <c r="AN15" i="16"/>
  <c r="AK14" i="16"/>
  <c r="AH13" i="16"/>
  <c r="AL15" i="16"/>
  <c r="T15" i="16"/>
  <c r="AI14" i="16"/>
  <c r="T14" i="16"/>
  <c r="AF13" i="16"/>
  <c r="Q13" i="16"/>
  <c r="AH15" i="16"/>
  <c r="S15" i="16"/>
  <c r="AH14" i="16"/>
  <c r="P14" i="16"/>
  <c r="AE13" i="16"/>
  <c r="P13" i="16"/>
  <c r="AG15" i="16"/>
  <c r="R15" i="16"/>
  <c r="AG14" i="16"/>
  <c r="O14" i="16"/>
  <c r="AD13" i="16"/>
  <c r="O13" i="16"/>
  <c r="AF15" i="16"/>
  <c r="Q15" i="16"/>
  <c r="AF14" i="16"/>
  <c r="N14" i="16"/>
  <c r="AC13" i="16"/>
  <c r="N13" i="16"/>
  <c r="P15" i="16"/>
  <c r="AB14" i="16"/>
  <c r="AB13" i="16"/>
  <c r="AA13" i="16"/>
  <c r="AC15" i="16"/>
  <c r="N15" i="16"/>
  <c r="Z14" i="16"/>
  <c r="K14" i="16"/>
  <c r="Z13" i="16"/>
  <c r="O35" i="16"/>
  <c r="AB15" i="16"/>
  <c r="AN14" i="16"/>
  <c r="Y14" i="16"/>
  <c r="AN13" i="16"/>
  <c r="V13" i="16"/>
  <c r="AG34" i="16"/>
  <c r="AE15" i="16"/>
  <c r="M14" i="16"/>
  <c r="AD15" i="16"/>
  <c r="O15" i="16"/>
  <c r="AA14" i="16"/>
  <c r="L14" i="16"/>
  <c r="J15" i="16"/>
  <c r="AA15" i="16"/>
  <c r="AM14" i="16"/>
  <c r="X14" i="16"/>
  <c r="AM13" i="16"/>
  <c r="U13" i="16"/>
  <c r="U34" i="16"/>
  <c r="AL35" i="16"/>
  <c r="AF34" i="16"/>
  <c r="Z33" i="16"/>
  <c r="M35" i="16"/>
  <c r="M33" i="16"/>
  <c r="R34" i="16"/>
  <c r="AB34" i="16"/>
  <c r="V33" i="16"/>
  <c r="AK15" i="16"/>
  <c r="Y15" i="16"/>
  <c r="M15" i="16"/>
  <c r="AE14" i="16"/>
  <c r="S14" i="16"/>
  <c r="AK13" i="16"/>
  <c r="Y13" i="16"/>
  <c r="M13" i="16"/>
  <c r="AG35" i="16"/>
  <c r="U35" i="16"/>
  <c r="AM34" i="16"/>
  <c r="AA34" i="16"/>
  <c r="O34" i="16"/>
  <c r="AG33" i="16"/>
  <c r="U33" i="16"/>
  <c r="AM33" i="16"/>
  <c r="T34" i="16"/>
  <c r="Y35" i="16"/>
  <c r="Y33" i="16"/>
  <c r="AJ35" i="16"/>
  <c r="L35" i="16"/>
  <c r="L33" i="16"/>
  <c r="V35" i="16"/>
  <c r="P34" i="16"/>
  <c r="AJ15" i="16"/>
  <c r="X15" i="16"/>
  <c r="L15" i="16"/>
  <c r="AD14" i="16"/>
  <c r="R14" i="16"/>
  <c r="AJ13" i="16"/>
  <c r="X13" i="16"/>
  <c r="L13" i="16"/>
  <c r="AF35" i="16"/>
  <c r="T35" i="16"/>
  <c r="AL34" i="16"/>
  <c r="Z34" i="16"/>
  <c r="N34" i="16"/>
  <c r="AF33" i="16"/>
  <c r="T33" i="16"/>
  <c r="O33" i="16"/>
  <c r="N35" i="16"/>
  <c r="N33" i="16"/>
  <c r="AK35" i="16"/>
  <c r="AE34" i="16"/>
  <c r="AK33" i="16"/>
  <c r="X35" i="16"/>
  <c r="AD34" i="16"/>
  <c r="X33" i="16"/>
  <c r="AH35" i="16"/>
  <c r="AN34" i="16"/>
  <c r="AH33" i="16"/>
  <c r="AI15" i="16"/>
  <c r="W15" i="16"/>
  <c r="K15" i="16"/>
  <c r="AC14" i="16"/>
  <c r="Q14" i="16"/>
  <c r="AI13" i="16"/>
  <c r="W13" i="16"/>
  <c r="AE35" i="16"/>
  <c r="S35" i="16"/>
  <c r="AK34" i="16"/>
  <c r="Y34" i="16"/>
  <c r="M34" i="16"/>
  <c r="AE33" i="16"/>
  <c r="S33" i="16"/>
  <c r="J34" i="16"/>
  <c r="AD35" i="16"/>
  <c r="R35" i="16"/>
  <c r="AJ34" i="16"/>
  <c r="X34" i="16"/>
  <c r="L34" i="16"/>
  <c r="AD33" i="16"/>
  <c r="R33" i="16"/>
  <c r="J33" i="16"/>
  <c r="AC35" i="16"/>
  <c r="Q35" i="16"/>
  <c r="AI34" i="16"/>
  <c r="W34" i="16"/>
  <c r="K34" i="16"/>
  <c r="AC33" i="16"/>
  <c r="Q33" i="16"/>
  <c r="AA33" i="16"/>
  <c r="AN35" i="16"/>
  <c r="AB35" i="16"/>
  <c r="P35" i="16"/>
  <c r="AH34" i="16"/>
  <c r="V34" i="16"/>
  <c r="AN33" i="16"/>
  <c r="AB33" i="16"/>
  <c r="P33" i="16"/>
  <c r="Z35" i="16"/>
  <c r="AL33" i="16"/>
  <c r="S34" i="16"/>
  <c r="AJ33" i="16"/>
  <c r="AI35" i="16"/>
  <c r="W35" i="16"/>
  <c r="K35" i="16"/>
  <c r="AC34" i="16"/>
  <c r="Q34" i="16"/>
  <c r="AI33" i="16"/>
  <c r="W33" i="16"/>
  <c r="E14" i="16"/>
  <c r="E15" i="16"/>
  <c r="J35" i="16"/>
  <c r="F14" i="16"/>
  <c r="F15" i="16"/>
  <c r="F13" i="16"/>
  <c r="E13" i="16"/>
  <c r="M9" i="16"/>
  <c r="C18" i="14"/>
  <c r="C19" i="14"/>
  <c r="C46" i="9"/>
  <c r="C39" i="9"/>
  <c r="C32" i="9"/>
  <c r="C68" i="9"/>
  <c r="C62" i="9"/>
  <c r="C56" i="9"/>
  <c r="H11" i="9"/>
  <c r="H10" i="9"/>
  <c r="J19" i="16" l="1"/>
  <c r="M20" i="16"/>
  <c r="J20" i="16"/>
  <c r="K20" i="16"/>
  <c r="L20" i="16"/>
  <c r="M21" i="16"/>
  <c r="L21" i="16"/>
  <c r="K21" i="16"/>
  <c r="J21" i="16"/>
  <c r="N9" i="16"/>
  <c r="K27" i="16" l="1"/>
  <c r="L26" i="16"/>
  <c r="M27" i="16"/>
  <c r="L27" i="16"/>
  <c r="K26" i="16"/>
  <c r="M26" i="16"/>
  <c r="J27" i="16"/>
  <c r="J26" i="16"/>
  <c r="O9" i="16"/>
  <c r="N20" i="16"/>
  <c r="N26" i="16" s="1"/>
  <c r="L19" i="16"/>
  <c r="N19" i="16"/>
  <c r="M19" i="16"/>
  <c r="K19" i="16"/>
  <c r="N21" i="16"/>
  <c r="N27" i="16" s="1"/>
  <c r="M25" i="16" l="1"/>
  <c r="L25" i="16"/>
  <c r="N25" i="16"/>
  <c r="K25" i="16"/>
  <c r="J25" i="16"/>
  <c r="P9" i="16"/>
  <c r="O20" i="16"/>
  <c r="O26" i="16" s="1"/>
  <c r="O21" i="16"/>
  <c r="O27" i="16" s="1"/>
  <c r="O19" i="16"/>
  <c r="O25" i="16" s="1"/>
  <c r="Q9" i="16" l="1"/>
  <c r="P20" i="16"/>
  <c r="P26" i="16" s="1"/>
  <c r="P21" i="16"/>
  <c r="P27" i="16" s="1"/>
  <c r="P19" i="16"/>
  <c r="P25" i="16" s="1"/>
  <c r="R9" i="16" l="1"/>
  <c r="Q20" i="16"/>
  <c r="Q26" i="16" s="1"/>
  <c r="Q21" i="16"/>
  <c r="Q27" i="16" s="1"/>
  <c r="Q19" i="16"/>
  <c r="Q25" i="16" s="1"/>
  <c r="S9" i="16" l="1"/>
  <c r="R20" i="16"/>
  <c r="R26" i="16" s="1"/>
  <c r="R21" i="16"/>
  <c r="R27" i="16" s="1"/>
  <c r="R19" i="16"/>
  <c r="R25" i="16" s="1"/>
  <c r="T9" i="16" l="1"/>
  <c r="S20" i="16"/>
  <c r="S26" i="16" s="1"/>
  <c r="S21" i="16"/>
  <c r="S27" i="16" s="1"/>
  <c r="S19" i="16"/>
  <c r="S25" i="16" s="1"/>
  <c r="U9" i="16" l="1"/>
  <c r="T20" i="16"/>
  <c r="T26" i="16" s="1"/>
  <c r="T21" i="16"/>
  <c r="T27" i="16" s="1"/>
  <c r="T19" i="16"/>
  <c r="T25" i="16" s="1"/>
  <c r="V9" i="16" l="1"/>
  <c r="U20" i="16"/>
  <c r="U26" i="16" s="1"/>
  <c r="U21" i="16"/>
  <c r="U27" i="16" s="1"/>
  <c r="U19" i="16"/>
  <c r="U25" i="16" s="1"/>
  <c r="W9" i="16" l="1"/>
  <c r="V20" i="16"/>
  <c r="V26" i="16" s="1"/>
  <c r="V21" i="16"/>
  <c r="V27" i="16" s="1"/>
  <c r="V19" i="16"/>
  <c r="V25" i="16" s="1"/>
  <c r="X9" i="16" l="1"/>
  <c r="W20" i="16"/>
  <c r="W26" i="16" s="1"/>
  <c r="W21" i="16"/>
  <c r="W27" i="16" s="1"/>
  <c r="W19" i="16"/>
  <c r="W25" i="16" s="1"/>
  <c r="Y9" i="16" l="1"/>
  <c r="X20" i="16"/>
  <c r="X26" i="16" s="1"/>
  <c r="X21" i="16"/>
  <c r="X27" i="16" s="1"/>
  <c r="X19" i="16"/>
  <c r="X25" i="16" s="1"/>
  <c r="Z9" i="16" l="1"/>
  <c r="Y20" i="16"/>
  <c r="Y26" i="16" s="1"/>
  <c r="Y21" i="16"/>
  <c r="Y27" i="16" s="1"/>
  <c r="Y19" i="16"/>
  <c r="Y25" i="16" s="1"/>
  <c r="AA9" i="16" l="1"/>
  <c r="Z20" i="16"/>
  <c r="Z26" i="16" s="1"/>
  <c r="Z21" i="16"/>
  <c r="Z27" i="16" s="1"/>
  <c r="Z19" i="16"/>
  <c r="Z25" i="16" s="1"/>
  <c r="AB9" i="16" l="1"/>
  <c r="AA20" i="16"/>
  <c r="AA26" i="16" s="1"/>
  <c r="AA21" i="16"/>
  <c r="AA27" i="16" s="1"/>
  <c r="AA19" i="16"/>
  <c r="AA25" i="16" s="1"/>
  <c r="AC9" i="16" l="1"/>
  <c r="AB20" i="16"/>
  <c r="AB26" i="16" s="1"/>
  <c r="AB21" i="16"/>
  <c r="AB27" i="16" s="1"/>
  <c r="AB19" i="16"/>
  <c r="AB25" i="16" s="1"/>
  <c r="AD9" i="16" l="1"/>
  <c r="AC20" i="16"/>
  <c r="AC26" i="16" s="1"/>
  <c r="AC21" i="16"/>
  <c r="AC27" i="16" s="1"/>
  <c r="AC19" i="16"/>
  <c r="AC25" i="16" s="1"/>
  <c r="AE9" i="16" l="1"/>
  <c r="AD20" i="16"/>
  <c r="AD26" i="16" s="1"/>
  <c r="AD21" i="16"/>
  <c r="AD27" i="16" s="1"/>
  <c r="AD19" i="16"/>
  <c r="AD25" i="16" s="1"/>
  <c r="AF9" i="16" l="1"/>
  <c r="AE20" i="16"/>
  <c r="AE26" i="16" s="1"/>
  <c r="AE21" i="16"/>
  <c r="AE27" i="16" s="1"/>
  <c r="AE19" i="16"/>
  <c r="AE25" i="16" s="1"/>
  <c r="AG9" i="16" l="1"/>
  <c r="AF20" i="16"/>
  <c r="AF26" i="16" s="1"/>
  <c r="AF21" i="16"/>
  <c r="AF27" i="16" s="1"/>
  <c r="AF19" i="16"/>
  <c r="AF25" i="16" s="1"/>
  <c r="AH9" i="16" l="1"/>
  <c r="AG20" i="16"/>
  <c r="AG26" i="16" s="1"/>
  <c r="AG21" i="16"/>
  <c r="AG27" i="16" s="1"/>
  <c r="AG19" i="16"/>
  <c r="AG25" i="16" s="1"/>
  <c r="AI9" i="16" l="1"/>
  <c r="AH20" i="16"/>
  <c r="AH26" i="16" s="1"/>
  <c r="AH21" i="16"/>
  <c r="AH27" i="16" s="1"/>
  <c r="AH19" i="16"/>
  <c r="AH25" i="16" s="1"/>
  <c r="AJ9" i="16" l="1"/>
  <c r="AI20" i="16"/>
  <c r="AI26" i="16" s="1"/>
  <c r="AI21" i="16"/>
  <c r="AI27" i="16" s="1"/>
  <c r="AI19" i="16"/>
  <c r="AI25" i="16" s="1"/>
  <c r="AK9" i="16" l="1"/>
  <c r="AJ20" i="16"/>
  <c r="AJ26" i="16" s="1"/>
  <c r="AJ21" i="16"/>
  <c r="AJ27" i="16" s="1"/>
  <c r="AJ19" i="16"/>
  <c r="AJ25" i="16" s="1"/>
  <c r="AL9" i="16" l="1"/>
  <c r="AK20" i="16"/>
  <c r="AK26" i="16" s="1"/>
  <c r="AK21" i="16"/>
  <c r="AK27" i="16" s="1"/>
  <c r="AK19" i="16"/>
  <c r="AK25" i="16" s="1"/>
  <c r="AM9" i="16" l="1"/>
  <c r="AL20" i="16"/>
  <c r="AL26" i="16" s="1"/>
  <c r="AL21" i="16"/>
  <c r="AL27" i="16" s="1"/>
  <c r="AL19" i="16"/>
  <c r="AL25" i="16" s="1"/>
  <c r="AN9" i="16" l="1"/>
  <c r="AM20" i="16"/>
  <c r="AM26" i="16" s="1"/>
  <c r="AM21" i="16"/>
  <c r="AM27" i="16" s="1"/>
  <c r="AM19" i="16"/>
  <c r="AM25" i="16" s="1"/>
  <c r="AN20" i="16" l="1"/>
  <c r="AN26" i="16" s="1"/>
  <c r="AN21" i="16"/>
  <c r="AN27" i="16" s="1"/>
  <c r="AN19" i="16"/>
  <c r="AN25" i="16" s="1"/>
  <c r="H25" i="9" l="1"/>
  <c r="H24" i="9"/>
  <c r="J24" i="9" s="1"/>
  <c r="K24" i="9" s="1"/>
  <c r="L24" i="9" s="1"/>
  <c r="M24" i="9" s="1"/>
  <c r="N24" i="9" s="1"/>
  <c r="O24" i="9" s="1"/>
  <c r="P24" i="9" s="1"/>
  <c r="Q24" i="9" s="1"/>
  <c r="R24" i="9" s="1"/>
  <c r="S24" i="9" s="1"/>
  <c r="T24" i="9" s="1"/>
  <c r="U24" i="9" s="1"/>
  <c r="V24" i="9" s="1"/>
  <c r="W24" i="9" s="1"/>
  <c r="X24" i="9" s="1"/>
  <c r="Y24" i="9" s="1"/>
  <c r="Z24" i="9" s="1"/>
  <c r="AA24" i="9" s="1"/>
  <c r="AB24" i="9" s="1"/>
  <c r="AC24" i="9" s="1"/>
  <c r="AD24" i="9" s="1"/>
  <c r="AE24" i="9" s="1"/>
  <c r="AF24" i="9" s="1"/>
  <c r="AG24" i="9" s="1"/>
  <c r="AH24" i="9" s="1"/>
  <c r="AI24" i="9" s="1"/>
  <c r="AJ24" i="9" s="1"/>
  <c r="AK24" i="9" s="1"/>
  <c r="H17" i="9"/>
  <c r="J7" i="13" l="1"/>
  <c r="G9" i="17"/>
  <c r="H23" i="9"/>
  <c r="H18" i="9"/>
  <c r="H26" i="9"/>
  <c r="J329" i="13" l="1"/>
  <c r="J307" i="13"/>
  <c r="J279" i="13"/>
  <c r="J256" i="13"/>
  <c r="J223" i="13"/>
  <c r="J201" i="13"/>
  <c r="J151" i="13"/>
  <c r="J173" i="13"/>
  <c r="J118" i="13"/>
  <c r="J96" i="13"/>
  <c r="J68" i="13"/>
  <c r="J45" i="13"/>
  <c r="J6" i="13"/>
  <c r="K6" i="13" s="1"/>
  <c r="L6" i="13" s="1"/>
  <c r="M6" i="13" s="1"/>
  <c r="N6" i="13" s="1"/>
  <c r="O6" i="13" s="1"/>
  <c r="P6" i="13" s="1"/>
  <c r="Q6" i="13" s="1"/>
  <c r="R6" i="13" s="1"/>
  <c r="S6" i="13" s="1"/>
  <c r="T6" i="13" s="1"/>
  <c r="U6" i="13" s="1"/>
  <c r="V6" i="13" s="1"/>
  <c r="W6" i="13" s="1"/>
  <c r="X6" i="13" s="1"/>
  <c r="Y6" i="13" s="1"/>
  <c r="Z6" i="13" s="1"/>
  <c r="AA6" i="13" s="1"/>
  <c r="AB6" i="13" s="1"/>
  <c r="AC6" i="13" s="1"/>
  <c r="AD6" i="13" s="1"/>
  <c r="AE6" i="13" s="1"/>
  <c r="AF6" i="13" s="1"/>
  <c r="AG6" i="13" s="1"/>
  <c r="AH6" i="13" s="1"/>
  <c r="AI6" i="13" s="1"/>
  <c r="AJ6" i="13" s="1"/>
  <c r="AK6" i="13" s="1"/>
  <c r="AL6" i="13" s="1"/>
  <c r="AM6" i="13" s="1"/>
  <c r="K7" i="13"/>
  <c r="J5" i="13"/>
  <c r="K5" i="13" s="1"/>
  <c r="L5" i="13" s="1"/>
  <c r="M5" i="13" s="1"/>
  <c r="N5" i="13" s="1"/>
  <c r="O5" i="13" s="1"/>
  <c r="P5" i="13" s="1"/>
  <c r="Q5" i="13" s="1"/>
  <c r="R5" i="13" s="1"/>
  <c r="S5" i="13" s="1"/>
  <c r="T5" i="13" s="1"/>
  <c r="U5" i="13" s="1"/>
  <c r="V5" i="13" s="1"/>
  <c r="W5" i="13" s="1"/>
  <c r="X5" i="13" s="1"/>
  <c r="Y5" i="13" s="1"/>
  <c r="Z5" i="13" s="1"/>
  <c r="AA5" i="13" s="1"/>
  <c r="AB5" i="13" s="1"/>
  <c r="AC5" i="13" s="1"/>
  <c r="AD5" i="13" s="1"/>
  <c r="AE5" i="13" s="1"/>
  <c r="AF5" i="13" s="1"/>
  <c r="AG5" i="13" s="1"/>
  <c r="AH5" i="13" s="1"/>
  <c r="AI5" i="13" s="1"/>
  <c r="AJ5" i="13" s="1"/>
  <c r="AK5" i="13" s="1"/>
  <c r="AL5" i="13" s="1"/>
  <c r="AM5" i="13" s="1"/>
  <c r="H9" i="17"/>
  <c r="G16" i="17"/>
  <c r="G22" i="17"/>
  <c r="G28" i="17"/>
  <c r="J67" i="13"/>
  <c r="J25" i="9"/>
  <c r="H40" i="9" l="1"/>
  <c r="H47" i="9"/>
  <c r="J247" i="13" s="1"/>
  <c r="J240" i="13" s="1"/>
  <c r="J241" i="13" s="1"/>
  <c r="J95" i="13"/>
  <c r="J97" i="13" s="1"/>
  <c r="J88" i="13" s="1"/>
  <c r="J44" i="13"/>
  <c r="J46" i="13" s="1"/>
  <c r="J37" i="13" s="1"/>
  <c r="K329" i="13"/>
  <c r="K279" i="13"/>
  <c r="K307" i="13"/>
  <c r="K256" i="13"/>
  <c r="K223" i="13"/>
  <c r="K173" i="13"/>
  <c r="K151" i="13"/>
  <c r="K201" i="13"/>
  <c r="L7" i="13"/>
  <c r="K118" i="13"/>
  <c r="K96" i="13"/>
  <c r="K45" i="13"/>
  <c r="K68" i="13"/>
  <c r="J69" i="13"/>
  <c r="J60" i="13" s="1"/>
  <c r="I9" i="17"/>
  <c r="H22" i="17"/>
  <c r="H28" i="17"/>
  <c r="H16" i="17"/>
  <c r="J142" i="13"/>
  <c r="J135" i="13" s="1"/>
  <c r="J136" i="13" s="1"/>
  <c r="I40" i="9"/>
  <c r="K150" i="13" s="1"/>
  <c r="I33" i="9"/>
  <c r="I35" i="9" s="1"/>
  <c r="K109" i="13" s="1"/>
  <c r="K102" i="13" s="1"/>
  <c r="I47" i="9"/>
  <c r="I49" i="9" s="1"/>
  <c r="K320" i="13" s="1"/>
  <c r="K313" i="13" s="1"/>
  <c r="J87" i="13"/>
  <c r="J80" i="13" s="1"/>
  <c r="J85" i="13" s="1"/>
  <c r="J90" i="13" s="1"/>
  <c r="J36" i="13"/>
  <c r="J29" i="13" s="1"/>
  <c r="J34" i="13" s="1"/>
  <c r="J39" i="13" s="1"/>
  <c r="J192" i="13"/>
  <c r="J185" i="13" s="1"/>
  <c r="J186" i="13" s="1"/>
  <c r="K67" i="13"/>
  <c r="J59" i="13"/>
  <c r="J52" i="13" s="1"/>
  <c r="J23" i="9"/>
  <c r="K25" i="9"/>
  <c r="J26" i="9"/>
  <c r="J298" i="13" l="1"/>
  <c r="J291" i="13" s="1"/>
  <c r="J292" i="13" s="1"/>
  <c r="K255" i="13"/>
  <c r="K257" i="13" s="1"/>
  <c r="K248" i="13" s="1"/>
  <c r="K306" i="13"/>
  <c r="K308" i="13" s="1"/>
  <c r="K299" i="13" s="1"/>
  <c r="K200" i="13"/>
  <c r="K202" i="13" s="1"/>
  <c r="K193" i="13" s="1"/>
  <c r="H42" i="9"/>
  <c r="H41" i="9"/>
  <c r="J200" i="13"/>
  <c r="J202" i="13" s="1"/>
  <c r="J193" i="13" s="1"/>
  <c r="J150" i="13"/>
  <c r="J152" i="13" s="1"/>
  <c r="J143" i="13" s="1"/>
  <c r="I42" i="9"/>
  <c r="K222" i="13" s="1"/>
  <c r="K224" i="13" s="1"/>
  <c r="K215" i="13" s="1"/>
  <c r="H49" i="9"/>
  <c r="H48" i="9"/>
  <c r="J255" i="13"/>
  <c r="J257" i="13" s="1"/>
  <c r="J248" i="13" s="1"/>
  <c r="J306" i="13"/>
  <c r="J308" i="13" s="1"/>
  <c r="J299" i="13" s="1"/>
  <c r="K328" i="13"/>
  <c r="K330" i="13" s="1"/>
  <c r="K321" i="13" s="1"/>
  <c r="K95" i="13"/>
  <c r="K97" i="13" s="1"/>
  <c r="K88" i="13" s="1"/>
  <c r="K117" i="13"/>
  <c r="K119" i="13" s="1"/>
  <c r="K110" i="13" s="1"/>
  <c r="J109" i="13"/>
  <c r="J102" i="13" s="1"/>
  <c r="J107" i="13" s="1"/>
  <c r="J112" i="13" s="1"/>
  <c r="J117" i="13"/>
  <c r="J119" i="13" s="1"/>
  <c r="J110" i="13" s="1"/>
  <c r="K44" i="13"/>
  <c r="K46" i="13" s="1"/>
  <c r="K37" i="13" s="1"/>
  <c r="L329" i="13"/>
  <c r="L279" i="13"/>
  <c r="L256" i="13"/>
  <c r="L307" i="13"/>
  <c r="L223" i="13"/>
  <c r="L173" i="13"/>
  <c r="L151" i="13"/>
  <c r="L201" i="13"/>
  <c r="L45" i="13"/>
  <c r="M7" i="13"/>
  <c r="L68" i="13"/>
  <c r="K152" i="13"/>
  <c r="K143" i="13" s="1"/>
  <c r="L96" i="13"/>
  <c r="L118" i="13"/>
  <c r="K69" i="13"/>
  <c r="K60" i="13" s="1"/>
  <c r="J190" i="13"/>
  <c r="J195" i="13" s="1"/>
  <c r="J140" i="13"/>
  <c r="J145" i="13" s="1"/>
  <c r="K298" i="13"/>
  <c r="K291" i="13" s="1"/>
  <c r="K296" i="13" s="1"/>
  <c r="K301" i="13" s="1"/>
  <c r="J9" i="17"/>
  <c r="I28" i="17"/>
  <c r="I22" i="17"/>
  <c r="I16" i="17"/>
  <c r="K142" i="13"/>
  <c r="K135" i="13" s="1"/>
  <c r="K140" i="13" s="1"/>
  <c r="K145" i="13" s="1"/>
  <c r="K192" i="13"/>
  <c r="K185" i="13" s="1"/>
  <c r="K186" i="13" s="1"/>
  <c r="J81" i="13"/>
  <c r="J33" i="9"/>
  <c r="L87" i="13" s="1"/>
  <c r="L80" i="13" s="1"/>
  <c r="J47" i="9"/>
  <c r="J49" i="9" s="1"/>
  <c r="L320" i="13" s="1"/>
  <c r="L313" i="13" s="1"/>
  <c r="J40" i="9"/>
  <c r="J42" i="9" s="1"/>
  <c r="L214" i="13" s="1"/>
  <c r="L207" i="13" s="1"/>
  <c r="K87" i="13"/>
  <c r="K80" i="13" s="1"/>
  <c r="K85" i="13" s="1"/>
  <c r="K90" i="13" s="1"/>
  <c r="K23" i="9"/>
  <c r="J245" i="13"/>
  <c r="J250" i="13" s="1"/>
  <c r="K36" i="13"/>
  <c r="K29" i="13" s="1"/>
  <c r="K247" i="13"/>
  <c r="K240" i="13" s="1"/>
  <c r="K245" i="13" s="1"/>
  <c r="K250" i="13" s="1"/>
  <c r="J57" i="13"/>
  <c r="J62" i="13" s="1"/>
  <c r="J53" i="13"/>
  <c r="J34" i="9"/>
  <c r="L67" i="13" s="1"/>
  <c r="K59" i="13"/>
  <c r="K52" i="13" s="1"/>
  <c r="K26" i="9"/>
  <c r="L25" i="9"/>
  <c r="J296" i="13" l="1"/>
  <c r="J301" i="13" s="1"/>
  <c r="K214" i="13"/>
  <c r="K207" i="13" s="1"/>
  <c r="L200" i="13"/>
  <c r="L202" i="13" s="1"/>
  <c r="L193" i="13" s="1"/>
  <c r="L150" i="13"/>
  <c r="L152" i="13" s="1"/>
  <c r="L143" i="13" s="1"/>
  <c r="I41" i="9"/>
  <c r="K164" i="13" s="1"/>
  <c r="K157" i="13" s="1"/>
  <c r="J172" i="13"/>
  <c r="J174" i="13" s="1"/>
  <c r="J165" i="13" s="1"/>
  <c r="J164" i="13"/>
  <c r="J157" i="13" s="1"/>
  <c r="J222" i="13"/>
  <c r="J224" i="13" s="1"/>
  <c r="J215" i="13" s="1"/>
  <c r="J214" i="13"/>
  <c r="J207" i="13" s="1"/>
  <c r="L212" i="13" s="1"/>
  <c r="L217" i="13" s="1"/>
  <c r="L255" i="13"/>
  <c r="L257" i="13" s="1"/>
  <c r="L248" i="13" s="1"/>
  <c r="I48" i="9"/>
  <c r="K278" i="13" s="1"/>
  <c r="K280" i="13" s="1"/>
  <c r="K271" i="13" s="1"/>
  <c r="J278" i="13"/>
  <c r="J280" i="13" s="1"/>
  <c r="J271" i="13" s="1"/>
  <c r="J270" i="13"/>
  <c r="J263" i="13" s="1"/>
  <c r="L306" i="13"/>
  <c r="L308" i="13" s="1"/>
  <c r="L299" i="13" s="1"/>
  <c r="J320" i="13"/>
  <c r="J313" i="13" s="1"/>
  <c r="L318" i="13" s="1"/>
  <c r="L323" i="13" s="1"/>
  <c r="J328" i="13"/>
  <c r="J330" i="13" s="1"/>
  <c r="J321" i="13" s="1"/>
  <c r="L328" i="13"/>
  <c r="L330" i="13" s="1"/>
  <c r="L321" i="13" s="1"/>
  <c r="L222" i="13"/>
  <c r="L224" i="13" s="1"/>
  <c r="L215" i="13" s="1"/>
  <c r="K107" i="13"/>
  <c r="K112" i="13" s="1"/>
  <c r="J103" i="13"/>
  <c r="K103" i="13"/>
  <c r="L95" i="13"/>
  <c r="L97" i="13" s="1"/>
  <c r="L88" i="13" s="1"/>
  <c r="L69" i="13"/>
  <c r="L60" i="13" s="1"/>
  <c r="L44" i="13"/>
  <c r="L46" i="13" s="1"/>
  <c r="L37" i="13" s="1"/>
  <c r="M329" i="13"/>
  <c r="M279" i="13"/>
  <c r="M256" i="13"/>
  <c r="M307" i="13"/>
  <c r="M45" i="13"/>
  <c r="M223" i="13"/>
  <c r="M68" i="13"/>
  <c r="M173" i="13"/>
  <c r="M201" i="13"/>
  <c r="M151" i="13"/>
  <c r="M96" i="13"/>
  <c r="M118" i="13"/>
  <c r="N7" i="13"/>
  <c r="K292" i="13"/>
  <c r="J41" i="9"/>
  <c r="K41" i="9" s="1"/>
  <c r="M164" i="13" s="1"/>
  <c r="K9" i="17"/>
  <c r="J28" i="17"/>
  <c r="J22" i="17"/>
  <c r="J16" i="17"/>
  <c r="K81" i="13"/>
  <c r="L247" i="13"/>
  <c r="L240" i="13" s="1"/>
  <c r="J35" i="9"/>
  <c r="L36" i="13"/>
  <c r="L29" i="13" s="1"/>
  <c r="L34" i="13" s="1"/>
  <c r="L39" i="13" s="1"/>
  <c r="K136" i="13"/>
  <c r="K190" i="13"/>
  <c r="K195" i="13" s="1"/>
  <c r="K241" i="13"/>
  <c r="K47" i="9"/>
  <c r="K49" i="9" s="1"/>
  <c r="M320" i="13" s="1"/>
  <c r="M313" i="13" s="1"/>
  <c r="K33" i="9"/>
  <c r="M87" i="13" s="1"/>
  <c r="M80" i="13" s="1"/>
  <c r="M85" i="13" s="1"/>
  <c r="M90" i="13" s="1"/>
  <c r="K40" i="9"/>
  <c r="K42" i="9" s="1"/>
  <c r="M214" i="13" s="1"/>
  <c r="M207" i="13" s="1"/>
  <c r="L192" i="13"/>
  <c r="L185" i="13" s="1"/>
  <c r="L186" i="13" s="1"/>
  <c r="L23" i="9"/>
  <c r="L298" i="13"/>
  <c r="L291" i="13" s="1"/>
  <c r="L142" i="13"/>
  <c r="L135" i="13" s="1"/>
  <c r="L140" i="13" s="1"/>
  <c r="L145" i="13" s="1"/>
  <c r="K53" i="13"/>
  <c r="K57" i="13"/>
  <c r="K62" i="13" s="1"/>
  <c r="K34" i="9"/>
  <c r="M67" i="13" s="1"/>
  <c r="L59" i="13"/>
  <c r="L52" i="13" s="1"/>
  <c r="L57" i="13" s="1"/>
  <c r="L62" i="13" s="1"/>
  <c r="L81" i="13"/>
  <c r="L85" i="13"/>
  <c r="L90" i="13" s="1"/>
  <c r="K34" i="13"/>
  <c r="K39" i="13" s="1"/>
  <c r="K30" i="13"/>
  <c r="L26" i="9"/>
  <c r="M25" i="9"/>
  <c r="K172" i="13" l="1"/>
  <c r="K174" i="13" s="1"/>
  <c r="K165" i="13" s="1"/>
  <c r="M208" i="13"/>
  <c r="L208" i="13"/>
  <c r="J48" i="9"/>
  <c r="K48" i="9" s="1"/>
  <c r="M270" i="13" s="1"/>
  <c r="K270" i="13"/>
  <c r="K263" i="13" s="1"/>
  <c r="K268" i="13" s="1"/>
  <c r="K273" i="13" s="1"/>
  <c r="M247" i="13"/>
  <c r="M240" i="13" s="1"/>
  <c r="M245" i="13" s="1"/>
  <c r="M250" i="13" s="1"/>
  <c r="K162" i="13"/>
  <c r="K167" i="13" s="1"/>
  <c r="M298" i="13"/>
  <c r="M291" i="13" s="1"/>
  <c r="M292" i="13" s="1"/>
  <c r="M306" i="13"/>
  <c r="M308" i="13" s="1"/>
  <c r="M299" i="13" s="1"/>
  <c r="J212" i="13"/>
  <c r="J217" i="13" s="1"/>
  <c r="J208" i="13"/>
  <c r="K208" i="13"/>
  <c r="J158" i="13"/>
  <c r="J162" i="13"/>
  <c r="J167" i="13" s="1"/>
  <c r="M150" i="13"/>
  <c r="M152" i="13" s="1"/>
  <c r="M143" i="13" s="1"/>
  <c r="M200" i="13"/>
  <c r="M202" i="13" s="1"/>
  <c r="M193" i="13" s="1"/>
  <c r="K158" i="13"/>
  <c r="M222" i="13"/>
  <c r="M224" i="13" s="1"/>
  <c r="M215" i="13" s="1"/>
  <c r="K212" i="13"/>
  <c r="K217" i="13" s="1"/>
  <c r="J318" i="13"/>
  <c r="J323" i="13" s="1"/>
  <c r="J314" i="13"/>
  <c r="K314" i="13"/>
  <c r="K318" i="13"/>
  <c r="K323" i="13" s="1"/>
  <c r="J268" i="13"/>
  <c r="J273" i="13" s="1"/>
  <c r="J264" i="13"/>
  <c r="M255" i="13"/>
  <c r="M257" i="13" s="1"/>
  <c r="M248" i="13" s="1"/>
  <c r="L314" i="13"/>
  <c r="M328" i="13"/>
  <c r="M330" i="13" s="1"/>
  <c r="M321" i="13" s="1"/>
  <c r="L270" i="13"/>
  <c r="L263" i="13" s="1"/>
  <c r="L278" i="13"/>
  <c r="L280" i="13" s="1"/>
  <c r="L271" i="13" s="1"/>
  <c r="M278" i="13"/>
  <c r="M280" i="13" s="1"/>
  <c r="M271" i="13" s="1"/>
  <c r="M172" i="13"/>
  <c r="M174" i="13" s="1"/>
  <c r="M165" i="13" s="1"/>
  <c r="L164" i="13"/>
  <c r="L157" i="13" s="1"/>
  <c r="L158" i="13" s="1"/>
  <c r="L172" i="13"/>
  <c r="L174" i="13" s="1"/>
  <c r="L165" i="13" s="1"/>
  <c r="M95" i="13"/>
  <c r="M97" i="13" s="1"/>
  <c r="M88" i="13" s="1"/>
  <c r="M44" i="13"/>
  <c r="M46" i="13" s="1"/>
  <c r="M37" i="13" s="1"/>
  <c r="L109" i="13"/>
  <c r="L102" i="13" s="1"/>
  <c r="L103" i="13" s="1"/>
  <c r="L117" i="13"/>
  <c r="L119" i="13" s="1"/>
  <c r="L110" i="13" s="1"/>
  <c r="N329" i="13"/>
  <c r="N307" i="13"/>
  <c r="N279" i="13"/>
  <c r="N256" i="13"/>
  <c r="M69" i="13"/>
  <c r="M60" i="13" s="1"/>
  <c r="N68" i="13"/>
  <c r="N223" i="13"/>
  <c r="N96" i="13"/>
  <c r="N173" i="13"/>
  <c r="N201" i="13"/>
  <c r="N151" i="13"/>
  <c r="O7" i="13"/>
  <c r="N118" i="13"/>
  <c r="N45" i="13"/>
  <c r="L136" i="13"/>
  <c r="M142" i="13"/>
  <c r="M135" i="13" s="1"/>
  <c r="M136" i="13" s="1"/>
  <c r="L9" i="17"/>
  <c r="K28" i="17"/>
  <c r="K22" i="17"/>
  <c r="K16" i="17"/>
  <c r="M23" i="9"/>
  <c r="N23" i="9" s="1"/>
  <c r="M212" i="13"/>
  <c r="M217" i="13" s="1"/>
  <c r="L245" i="13"/>
  <c r="L250" i="13" s="1"/>
  <c r="L241" i="13"/>
  <c r="M81" i="13"/>
  <c r="L190" i="13"/>
  <c r="L195" i="13" s="1"/>
  <c r="L30" i="13"/>
  <c r="L47" i="9"/>
  <c r="L49" i="9" s="1"/>
  <c r="N320" i="13" s="1"/>
  <c r="N313" i="13" s="1"/>
  <c r="N314" i="13" s="1"/>
  <c r="L33" i="9"/>
  <c r="L35" i="9" s="1"/>
  <c r="N109" i="13" s="1"/>
  <c r="N102" i="13" s="1"/>
  <c r="L40" i="9"/>
  <c r="L42" i="9" s="1"/>
  <c r="N214" i="13" s="1"/>
  <c r="N207" i="13" s="1"/>
  <c r="N208" i="13" s="1"/>
  <c r="L48" i="9"/>
  <c r="N270" i="13" s="1"/>
  <c r="L41" i="9"/>
  <c r="N164" i="13" s="1"/>
  <c r="L292" i="13"/>
  <c r="L296" i="13"/>
  <c r="L301" i="13" s="1"/>
  <c r="K35" i="9"/>
  <c r="M36" i="13"/>
  <c r="M29" i="13" s="1"/>
  <c r="M192" i="13"/>
  <c r="M185" i="13" s="1"/>
  <c r="M186" i="13" s="1"/>
  <c r="L53" i="13"/>
  <c r="L34" i="9"/>
  <c r="N67" i="13" s="1"/>
  <c r="M157" i="13"/>
  <c r="M59" i="13"/>
  <c r="M52" i="13" s="1"/>
  <c r="M263" i="13"/>
  <c r="M314" i="13"/>
  <c r="M318" i="13"/>
  <c r="M323" i="13" s="1"/>
  <c r="M26" i="9"/>
  <c r="N25" i="9"/>
  <c r="M158" i="13" l="1"/>
  <c r="M241" i="13"/>
  <c r="L264" i="13"/>
  <c r="M296" i="13"/>
  <c r="M301" i="13" s="1"/>
  <c r="K264" i="13"/>
  <c r="N306" i="13"/>
  <c r="N308" i="13" s="1"/>
  <c r="N299" i="13" s="1"/>
  <c r="N200" i="13"/>
  <c r="N202" i="13" s="1"/>
  <c r="N193" i="13" s="1"/>
  <c r="N150" i="13"/>
  <c r="N152" i="13" s="1"/>
  <c r="N143" i="13" s="1"/>
  <c r="N255" i="13"/>
  <c r="N257" i="13" s="1"/>
  <c r="N248" i="13" s="1"/>
  <c r="N222" i="13"/>
  <c r="N224" i="13" s="1"/>
  <c r="N215" i="13" s="1"/>
  <c r="L162" i="13"/>
  <c r="L167" i="13" s="1"/>
  <c r="N328" i="13"/>
  <c r="N330" i="13" s="1"/>
  <c r="N321" i="13" s="1"/>
  <c r="L268" i="13"/>
  <c r="L273" i="13" s="1"/>
  <c r="N278" i="13"/>
  <c r="N280" i="13" s="1"/>
  <c r="N271" i="13" s="1"/>
  <c r="N172" i="13"/>
  <c r="N174" i="13" s="1"/>
  <c r="N165" i="13" s="1"/>
  <c r="L107" i="13"/>
  <c r="L112" i="13" s="1"/>
  <c r="N44" i="13"/>
  <c r="N46" i="13" s="1"/>
  <c r="N37" i="13" s="1"/>
  <c r="N95" i="13"/>
  <c r="N97" i="13" s="1"/>
  <c r="N88" i="13" s="1"/>
  <c r="M109" i="13"/>
  <c r="M102" i="13" s="1"/>
  <c r="M107" i="13" s="1"/>
  <c r="M112" i="13" s="1"/>
  <c r="M117" i="13"/>
  <c r="M119" i="13" s="1"/>
  <c r="M110" i="13" s="1"/>
  <c r="N117" i="13"/>
  <c r="N119" i="13" s="1"/>
  <c r="N110" i="13" s="1"/>
  <c r="O329" i="13"/>
  <c r="O279" i="13"/>
  <c r="O256" i="13"/>
  <c r="O307" i="13"/>
  <c r="N69" i="13"/>
  <c r="N60" i="13" s="1"/>
  <c r="O223" i="13"/>
  <c r="O68" i="13"/>
  <c r="O45" i="13"/>
  <c r="O118" i="13"/>
  <c r="O96" i="13"/>
  <c r="O173" i="13"/>
  <c r="O201" i="13"/>
  <c r="O151" i="13"/>
  <c r="P7" i="13"/>
  <c r="M140" i="13"/>
  <c r="M145" i="13" s="1"/>
  <c r="M190" i="13"/>
  <c r="M195" i="13" s="1"/>
  <c r="N36" i="13"/>
  <c r="N29" i="13" s="1"/>
  <c r="N34" i="13" s="1"/>
  <c r="N39" i="13" s="1"/>
  <c r="N87" i="13"/>
  <c r="N80" i="13" s="1"/>
  <c r="N85" i="13" s="1"/>
  <c r="N90" i="13" s="1"/>
  <c r="M9" i="17"/>
  <c r="L28" i="17"/>
  <c r="L22" i="17"/>
  <c r="L16" i="17"/>
  <c r="N212" i="13"/>
  <c r="N217" i="13" s="1"/>
  <c r="N40" i="9"/>
  <c r="N42" i="9" s="1"/>
  <c r="N33" i="9"/>
  <c r="N35" i="9" s="1"/>
  <c r="N47" i="9"/>
  <c r="N49" i="9" s="1"/>
  <c r="N298" i="13"/>
  <c r="N291" i="13" s="1"/>
  <c r="N292" i="13" s="1"/>
  <c r="N318" i="13"/>
  <c r="N323" i="13" s="1"/>
  <c r="M47" i="9"/>
  <c r="O306" i="13" s="1"/>
  <c r="M33" i="9"/>
  <c r="O95" i="13" s="1"/>
  <c r="M40" i="9"/>
  <c r="O150" i="13" s="1"/>
  <c r="M48" i="9"/>
  <c r="O270" i="13" s="1"/>
  <c r="M41" i="9"/>
  <c r="O164" i="13" s="1"/>
  <c r="M34" i="13"/>
  <c r="M39" i="13" s="1"/>
  <c r="M30" i="13"/>
  <c r="N247" i="13"/>
  <c r="N240" i="13" s="1"/>
  <c r="N142" i="13"/>
  <c r="N135" i="13" s="1"/>
  <c r="N192" i="13"/>
  <c r="N185" i="13" s="1"/>
  <c r="M268" i="13"/>
  <c r="M273" i="13" s="1"/>
  <c r="M264" i="13"/>
  <c r="M162" i="13"/>
  <c r="M167" i="13" s="1"/>
  <c r="M53" i="13"/>
  <c r="M57" i="13"/>
  <c r="M62" i="13" s="1"/>
  <c r="M34" i="9"/>
  <c r="O67" i="13" s="1"/>
  <c r="N157" i="13"/>
  <c r="N263" i="13"/>
  <c r="N59" i="13"/>
  <c r="N52" i="13" s="1"/>
  <c r="O23" i="9"/>
  <c r="O25" i="9"/>
  <c r="N26" i="9"/>
  <c r="O200" i="13" l="1"/>
  <c r="O255" i="13"/>
  <c r="O257" i="13" s="1"/>
  <c r="O248" i="13" s="1"/>
  <c r="O278" i="13"/>
  <c r="O280" i="13" s="1"/>
  <c r="O271" i="13" s="1"/>
  <c r="O172" i="13"/>
  <c r="O174" i="13" s="1"/>
  <c r="O165" i="13" s="1"/>
  <c r="N103" i="13"/>
  <c r="N107" i="13"/>
  <c r="N112" i="13" s="1"/>
  <c r="O44" i="13"/>
  <c r="O46" i="13" s="1"/>
  <c r="O37" i="13" s="1"/>
  <c r="M103" i="13"/>
  <c r="P328" i="13"/>
  <c r="P329" i="13"/>
  <c r="P68" i="13"/>
  <c r="P96" i="13"/>
  <c r="P118" i="13"/>
  <c r="P306" i="13"/>
  <c r="P255" i="13"/>
  <c r="P307" i="13"/>
  <c r="P279" i="13"/>
  <c r="P256" i="13"/>
  <c r="O308" i="13"/>
  <c r="O299" i="13" s="1"/>
  <c r="P222" i="13"/>
  <c r="P223" i="13"/>
  <c r="Q7" i="13"/>
  <c r="P95" i="13"/>
  <c r="P45" i="13"/>
  <c r="O69" i="13"/>
  <c r="O60" i="13" s="1"/>
  <c r="P117" i="13"/>
  <c r="P320" i="13"/>
  <c r="P313" i="13" s="1"/>
  <c r="P109" i="13"/>
  <c r="P102" i="13" s="1"/>
  <c r="P44" i="13"/>
  <c r="P214" i="13"/>
  <c r="P207" i="13" s="1"/>
  <c r="O97" i="13"/>
  <c r="O88" i="13" s="1"/>
  <c r="O152" i="13"/>
  <c r="O143" i="13" s="1"/>
  <c r="O202" i="13"/>
  <c r="O193" i="13" s="1"/>
  <c r="P200" i="13"/>
  <c r="P151" i="13"/>
  <c r="P173" i="13"/>
  <c r="P201" i="13"/>
  <c r="P150" i="13"/>
  <c r="N81" i="13"/>
  <c r="N30" i="13"/>
  <c r="P192" i="13"/>
  <c r="P185" i="13" s="1"/>
  <c r="P247" i="13"/>
  <c r="P240" i="13" s="1"/>
  <c r="P36" i="13"/>
  <c r="P29" i="13" s="1"/>
  <c r="P87" i="13"/>
  <c r="P80" i="13" s="1"/>
  <c r="N9" i="17"/>
  <c r="M22" i="17"/>
  <c r="M28" i="17"/>
  <c r="M16" i="17"/>
  <c r="P142" i="13"/>
  <c r="P135" i="13" s="1"/>
  <c r="N245" i="13"/>
  <c r="N250" i="13" s="1"/>
  <c r="N241" i="13"/>
  <c r="M49" i="9"/>
  <c r="O247" i="13"/>
  <c r="O240" i="13" s="1"/>
  <c r="O298" i="13"/>
  <c r="O291" i="13" s="1"/>
  <c r="O292" i="13" s="1"/>
  <c r="N41" i="9"/>
  <c r="P164" i="13" s="1"/>
  <c r="N48" i="9"/>
  <c r="P270" i="13" s="1"/>
  <c r="O47" i="9"/>
  <c r="O49" i="9" s="1"/>
  <c r="O40" i="9"/>
  <c r="O42" i="9" s="1"/>
  <c r="O33" i="9"/>
  <c r="O35" i="9" s="1"/>
  <c r="N296" i="13"/>
  <c r="N301" i="13" s="1"/>
  <c r="M42" i="9"/>
  <c r="O142" i="13"/>
  <c r="O135" i="13" s="1"/>
  <c r="O192" i="13"/>
  <c r="O185" i="13" s="1"/>
  <c r="M35" i="9"/>
  <c r="O36" i="13"/>
  <c r="O29" i="13" s="1"/>
  <c r="O87" i="13"/>
  <c r="O80" i="13" s="1"/>
  <c r="N190" i="13"/>
  <c r="N195" i="13" s="1"/>
  <c r="N186" i="13"/>
  <c r="P298" i="13"/>
  <c r="P291" i="13" s="1"/>
  <c r="N140" i="13"/>
  <c r="N145" i="13" s="1"/>
  <c r="N136" i="13"/>
  <c r="N264" i="13"/>
  <c r="N268" i="13"/>
  <c r="N273" i="13" s="1"/>
  <c r="N162" i="13"/>
  <c r="N167" i="13" s="1"/>
  <c r="N34" i="9"/>
  <c r="P67" i="13" s="1"/>
  <c r="P69" i="13" s="1"/>
  <c r="P60" i="13" s="1"/>
  <c r="O263" i="13"/>
  <c r="O59" i="13"/>
  <c r="O52" i="13" s="1"/>
  <c r="O157" i="13"/>
  <c r="N57" i="13"/>
  <c r="N62" i="13" s="1"/>
  <c r="N158" i="13"/>
  <c r="N53" i="13"/>
  <c r="P23" i="9"/>
  <c r="O26" i="9"/>
  <c r="P25" i="9"/>
  <c r="P278" i="13" l="1"/>
  <c r="P280" i="13" s="1"/>
  <c r="P271" i="13" s="1"/>
  <c r="P172" i="13"/>
  <c r="P174" i="13" s="1"/>
  <c r="P165" i="13" s="1"/>
  <c r="O320" i="13"/>
  <c r="O313" i="13" s="1"/>
  <c r="O314" i="13" s="1"/>
  <c r="O328" i="13"/>
  <c r="O330" i="13" s="1"/>
  <c r="O321" i="13" s="1"/>
  <c r="O214" i="13"/>
  <c r="O207" i="13" s="1"/>
  <c r="P208" i="13" s="1"/>
  <c r="O222" i="13"/>
  <c r="O224" i="13" s="1"/>
  <c r="O215" i="13" s="1"/>
  <c r="O109" i="13"/>
  <c r="O102" i="13" s="1"/>
  <c r="P103" i="13" s="1"/>
  <c r="O117" i="13"/>
  <c r="O119" i="13" s="1"/>
  <c r="O110" i="13" s="1"/>
  <c r="P97" i="13"/>
  <c r="P88" i="13" s="1"/>
  <c r="Q329" i="13"/>
  <c r="Q328" i="13"/>
  <c r="P119" i="13"/>
  <c r="P110" i="13" s="1"/>
  <c r="P330" i="13"/>
  <c r="P321" i="13" s="1"/>
  <c r="Q256" i="13"/>
  <c r="Q307" i="13"/>
  <c r="Q279" i="13"/>
  <c r="Q306" i="13"/>
  <c r="Q255" i="13"/>
  <c r="P308" i="13"/>
  <c r="P299" i="13" s="1"/>
  <c r="Q96" i="13"/>
  <c r="Q118" i="13"/>
  <c r="R7" i="13"/>
  <c r="Q109" i="13"/>
  <c r="Q102" i="13" s="1"/>
  <c r="Q320" i="13"/>
  <c r="Q313" i="13" s="1"/>
  <c r="Q173" i="13"/>
  <c r="Q201" i="13"/>
  <c r="Q117" i="13"/>
  <c r="Q151" i="13"/>
  <c r="Q214" i="13"/>
  <c r="Q207" i="13" s="1"/>
  <c r="Q95" i="13"/>
  <c r="P257" i="13"/>
  <c r="P248" i="13" s="1"/>
  <c r="Q45" i="13"/>
  <c r="Q200" i="13"/>
  <c r="Q68" i="13"/>
  <c r="Q150" i="13"/>
  <c r="Q44" i="13"/>
  <c r="P224" i="13"/>
  <c r="P215" i="13" s="1"/>
  <c r="P46" i="13"/>
  <c r="P37" i="13" s="1"/>
  <c r="Q223" i="13"/>
  <c r="Q222" i="13"/>
  <c r="P152" i="13"/>
  <c r="P143" i="13" s="1"/>
  <c r="P202" i="13"/>
  <c r="P193" i="13" s="1"/>
  <c r="P296" i="13"/>
  <c r="P301" i="13" s="1"/>
  <c r="O296" i="13"/>
  <c r="O301" i="13" s="1"/>
  <c r="P140" i="13"/>
  <c r="P145" i="13" s="1"/>
  <c r="P34" i="13"/>
  <c r="P39" i="13" s="1"/>
  <c r="P245" i="13"/>
  <c r="P250" i="13" s="1"/>
  <c r="P190" i="13"/>
  <c r="P195" i="13" s="1"/>
  <c r="P186" i="13"/>
  <c r="P292" i="13"/>
  <c r="P30" i="13"/>
  <c r="Q298" i="13"/>
  <c r="Q291" i="13" s="1"/>
  <c r="Q292" i="13" s="1"/>
  <c r="O245" i="13"/>
  <c r="O250" i="13" s="1"/>
  <c r="Q192" i="13"/>
  <c r="Q185" i="13" s="1"/>
  <c r="Q186" i="13" s="1"/>
  <c r="Q87" i="13"/>
  <c r="Q80" i="13" s="1"/>
  <c r="Q81" i="13" s="1"/>
  <c r="O241" i="13"/>
  <c r="Q247" i="13"/>
  <c r="Q240" i="13" s="1"/>
  <c r="Q245" i="13" s="1"/>
  <c r="Q250" i="13" s="1"/>
  <c r="Q142" i="13"/>
  <c r="Q135" i="13" s="1"/>
  <c r="O9" i="17"/>
  <c r="N28" i="17"/>
  <c r="N16" i="17"/>
  <c r="N22" i="17"/>
  <c r="P241" i="13"/>
  <c r="O41" i="9"/>
  <c r="Q164" i="13" s="1"/>
  <c r="O48" i="9"/>
  <c r="Q270" i="13" s="1"/>
  <c r="O81" i="13"/>
  <c r="O85" i="13"/>
  <c r="O90" i="13" s="1"/>
  <c r="P40" i="9"/>
  <c r="P42" i="9" s="1"/>
  <c r="P47" i="9"/>
  <c r="P49" i="9" s="1"/>
  <c r="P33" i="9"/>
  <c r="P35" i="9" s="1"/>
  <c r="O140" i="13"/>
  <c r="O145" i="13" s="1"/>
  <c r="O136" i="13"/>
  <c r="O34" i="13"/>
  <c r="O39" i="13" s="1"/>
  <c r="O30" i="13"/>
  <c r="Q36" i="13"/>
  <c r="Q29" i="13" s="1"/>
  <c r="Q30" i="13" s="1"/>
  <c r="P136" i="13"/>
  <c r="O190" i="13"/>
  <c r="O195" i="13" s="1"/>
  <c r="O186" i="13"/>
  <c r="O57" i="13"/>
  <c r="O62" i="13" s="1"/>
  <c r="O34" i="9"/>
  <c r="Q67" i="13" s="1"/>
  <c r="P263" i="13"/>
  <c r="P59" i="13"/>
  <c r="P52" i="13" s="1"/>
  <c r="P57" i="13" s="1"/>
  <c r="P157" i="13"/>
  <c r="O264" i="13"/>
  <c r="O162" i="13"/>
  <c r="O167" i="13" s="1"/>
  <c r="O268" i="13"/>
  <c r="O273" i="13" s="1"/>
  <c r="O158" i="13"/>
  <c r="O53" i="13"/>
  <c r="P81" i="13"/>
  <c r="P85" i="13"/>
  <c r="P90" i="13" s="1"/>
  <c r="Q23" i="9"/>
  <c r="P26" i="9"/>
  <c r="Q25" i="9"/>
  <c r="P314" i="13" l="1"/>
  <c r="P318" i="13"/>
  <c r="P323" i="13" s="1"/>
  <c r="Q318" i="13"/>
  <c r="Q323" i="13" s="1"/>
  <c r="Q278" i="13"/>
  <c r="Q280" i="13" s="1"/>
  <c r="Q271" i="13" s="1"/>
  <c r="P212" i="13"/>
  <c r="P217" i="13" s="1"/>
  <c r="O212" i="13"/>
  <c r="O217" i="13" s="1"/>
  <c r="O208" i="13"/>
  <c r="Q172" i="13"/>
  <c r="Q174" i="13" s="1"/>
  <c r="Q165" i="13" s="1"/>
  <c r="Q212" i="13"/>
  <c r="Q217" i="13" s="1"/>
  <c r="O318" i="13"/>
  <c r="O323" i="13" s="1"/>
  <c r="P107" i="13"/>
  <c r="P112" i="13" s="1"/>
  <c r="O107" i="13"/>
  <c r="O112" i="13" s="1"/>
  <c r="O103" i="13"/>
  <c r="Q330" i="13"/>
  <c r="Q321" i="13" s="1"/>
  <c r="Q308" i="13"/>
  <c r="Q299" i="13" s="1"/>
  <c r="R222" i="13"/>
  <c r="R329" i="13"/>
  <c r="R328" i="13"/>
  <c r="R330" i="13" s="1"/>
  <c r="R321" i="13" s="1"/>
  <c r="Q97" i="13"/>
  <c r="Q88" i="13" s="1"/>
  <c r="R150" i="13"/>
  <c r="R255" i="13"/>
  <c r="R256" i="13"/>
  <c r="R307" i="13"/>
  <c r="R279" i="13"/>
  <c r="R306" i="13"/>
  <c r="Q119" i="13"/>
  <c r="Q110" i="13" s="1"/>
  <c r="R223" i="13"/>
  <c r="Q152" i="13"/>
  <c r="Q143" i="13" s="1"/>
  <c r="R214" i="13"/>
  <c r="R207" i="13" s="1"/>
  <c r="R68" i="13"/>
  <c r="R118" i="13"/>
  <c r="Q257" i="13"/>
  <c r="Q248" i="13" s="1"/>
  <c r="R96" i="13"/>
  <c r="R117" i="13"/>
  <c r="Q202" i="13"/>
  <c r="Q193" i="13" s="1"/>
  <c r="R200" i="13"/>
  <c r="R109" i="13"/>
  <c r="R102" i="13" s="1"/>
  <c r="R103" i="13" s="1"/>
  <c r="R44" i="13"/>
  <c r="R173" i="13"/>
  <c r="S7" i="13"/>
  <c r="S173" i="13" s="1"/>
  <c r="R320" i="13"/>
  <c r="R313" i="13" s="1"/>
  <c r="R314" i="13" s="1"/>
  <c r="R201" i="13"/>
  <c r="R151" i="13"/>
  <c r="R95" i="13"/>
  <c r="R97" i="13" s="1"/>
  <c r="R88" i="13" s="1"/>
  <c r="Q314" i="13"/>
  <c r="R45" i="13"/>
  <c r="Q69" i="13"/>
  <c r="Q60" i="13" s="1"/>
  <c r="Q208" i="13"/>
  <c r="Q46" i="13"/>
  <c r="Q37" i="13" s="1"/>
  <c r="Q224" i="13"/>
  <c r="Q215" i="13" s="1"/>
  <c r="Q34" i="13"/>
  <c r="Q39" i="13" s="1"/>
  <c r="Q296" i="13"/>
  <c r="Q301" i="13" s="1"/>
  <c r="P41" i="9"/>
  <c r="R164" i="13" s="1"/>
  <c r="R192" i="13"/>
  <c r="R185" i="13" s="1"/>
  <c r="R190" i="13" s="1"/>
  <c r="R195" i="13" s="1"/>
  <c r="R142" i="13"/>
  <c r="R135" i="13" s="1"/>
  <c r="R136" i="13" s="1"/>
  <c r="Q190" i="13"/>
  <c r="Q195" i="13" s="1"/>
  <c r="Q85" i="13"/>
  <c r="Q90" i="13" s="1"/>
  <c r="P48" i="9"/>
  <c r="R270" i="13" s="1"/>
  <c r="Q241" i="13"/>
  <c r="P9" i="17"/>
  <c r="O22" i="17"/>
  <c r="O28" i="17"/>
  <c r="O16" i="17"/>
  <c r="R298" i="13"/>
  <c r="R291" i="13" s="1"/>
  <c r="R292" i="13" s="1"/>
  <c r="R87" i="13"/>
  <c r="R80" i="13" s="1"/>
  <c r="R36" i="13"/>
  <c r="R29" i="13" s="1"/>
  <c r="R34" i="13" s="1"/>
  <c r="R39" i="13" s="1"/>
  <c r="R247" i="13"/>
  <c r="R240" i="13" s="1"/>
  <c r="R245" i="13" s="1"/>
  <c r="R250" i="13" s="1"/>
  <c r="Q40" i="9"/>
  <c r="Q42" i="9" s="1"/>
  <c r="Q47" i="9"/>
  <c r="Q49" i="9" s="1"/>
  <c r="Q33" i="9"/>
  <c r="Q35" i="9" s="1"/>
  <c r="P62" i="13"/>
  <c r="P53" i="13"/>
  <c r="P264" i="13"/>
  <c r="P268" i="13"/>
  <c r="P273" i="13" s="1"/>
  <c r="P162" i="13"/>
  <c r="P167" i="13" s="1"/>
  <c r="P34" i="9"/>
  <c r="R67" i="13" s="1"/>
  <c r="Q59" i="13"/>
  <c r="Q52" i="13" s="1"/>
  <c r="Q263" i="13"/>
  <c r="Q157" i="13"/>
  <c r="Q158" i="13" s="1"/>
  <c r="P158" i="13"/>
  <c r="Q136" i="13"/>
  <c r="Q140" i="13"/>
  <c r="Q145" i="13" s="1"/>
  <c r="Q107" i="13"/>
  <c r="Q112" i="13" s="1"/>
  <c r="Q103" i="13"/>
  <c r="T7" i="13"/>
  <c r="R23" i="9"/>
  <c r="Q26" i="9"/>
  <c r="R25" i="9"/>
  <c r="Q41" i="9" l="1"/>
  <c r="S172" i="13" s="1"/>
  <c r="S174" i="13" s="1"/>
  <c r="S165" i="13" s="1"/>
  <c r="R172" i="13"/>
  <c r="R174" i="13" s="1"/>
  <c r="R165" i="13" s="1"/>
  <c r="R278" i="13"/>
  <c r="R280" i="13" s="1"/>
  <c r="R271" i="13" s="1"/>
  <c r="Q48" i="9"/>
  <c r="S270" i="13" s="1"/>
  <c r="S214" i="13"/>
  <c r="S207" i="13" s="1"/>
  <c r="S208" i="13" s="1"/>
  <c r="S95" i="13"/>
  <c r="R119" i="13"/>
  <c r="R110" i="13" s="1"/>
  <c r="R224" i="13"/>
  <c r="R215" i="13" s="1"/>
  <c r="S44" i="13"/>
  <c r="S247" i="13"/>
  <c r="S240" i="13" s="1"/>
  <c r="S245" i="13" s="1"/>
  <c r="S250" i="13" s="1"/>
  <c r="S117" i="13"/>
  <c r="R308" i="13"/>
  <c r="R299" i="13" s="1"/>
  <c r="S164" i="13"/>
  <c r="S150" i="13"/>
  <c r="S152" i="13" s="1"/>
  <c r="S143" i="13" s="1"/>
  <c r="S109" i="13"/>
  <c r="S102" i="13" s="1"/>
  <c r="S103" i="13" s="1"/>
  <c r="S200" i="13"/>
  <c r="S151" i="13"/>
  <c r="S298" i="13"/>
  <c r="S291" i="13" s="1"/>
  <c r="S296" i="13" s="1"/>
  <c r="S301" i="13" s="1"/>
  <c r="R69" i="13"/>
  <c r="R60" i="13" s="1"/>
  <c r="T329" i="13"/>
  <c r="S329" i="13"/>
  <c r="S328" i="13"/>
  <c r="R318" i="13"/>
  <c r="R323" i="13" s="1"/>
  <c r="R152" i="13"/>
  <c r="R143" i="13" s="1"/>
  <c r="T307" i="13"/>
  <c r="T256" i="13"/>
  <c r="T279" i="13"/>
  <c r="S307" i="13"/>
  <c r="S279" i="13"/>
  <c r="S278" i="13"/>
  <c r="S255" i="13"/>
  <c r="S306" i="13"/>
  <c r="S256" i="13"/>
  <c r="R46" i="13"/>
  <c r="R37" i="13" s="1"/>
  <c r="R257" i="13"/>
  <c r="R248" i="13" s="1"/>
  <c r="R107" i="13"/>
  <c r="R112" i="13" s="1"/>
  <c r="R202" i="13"/>
  <c r="R193" i="13" s="1"/>
  <c r="S320" i="13"/>
  <c r="S313" i="13" s="1"/>
  <c r="S314" i="13" s="1"/>
  <c r="S45" i="13"/>
  <c r="S201" i="13"/>
  <c r="S68" i="13"/>
  <c r="S223" i="13"/>
  <c r="S96" i="13"/>
  <c r="S222" i="13"/>
  <c r="S118" i="13"/>
  <c r="T223" i="13"/>
  <c r="T201" i="13"/>
  <c r="T151" i="13"/>
  <c r="T173" i="13"/>
  <c r="T118" i="13"/>
  <c r="T96" i="13"/>
  <c r="T68" i="13"/>
  <c r="T45" i="13"/>
  <c r="R140" i="13"/>
  <c r="R145" i="13" s="1"/>
  <c r="R186" i="13"/>
  <c r="S36" i="13"/>
  <c r="S29" i="13" s="1"/>
  <c r="S30" i="13" s="1"/>
  <c r="S87" i="13"/>
  <c r="S80" i="13" s="1"/>
  <c r="S81" i="13" s="1"/>
  <c r="S142" i="13"/>
  <c r="S135" i="13" s="1"/>
  <c r="S136" i="13" s="1"/>
  <c r="R241" i="13"/>
  <c r="R296" i="13"/>
  <c r="R301" i="13" s="1"/>
  <c r="Q9" i="17"/>
  <c r="P16" i="17"/>
  <c r="P22" i="17"/>
  <c r="P28" i="17"/>
  <c r="R30" i="13"/>
  <c r="R40" i="9"/>
  <c r="R42" i="9" s="1"/>
  <c r="T214" i="13" s="1"/>
  <c r="T207" i="13" s="1"/>
  <c r="R33" i="9"/>
  <c r="R35" i="9" s="1"/>
  <c r="T109" i="13" s="1"/>
  <c r="T102" i="13" s="1"/>
  <c r="R47" i="9"/>
  <c r="R49" i="9" s="1"/>
  <c r="T320" i="13" s="1"/>
  <c r="T313" i="13" s="1"/>
  <c r="R48" i="9"/>
  <c r="T270" i="13" s="1"/>
  <c r="S192" i="13"/>
  <c r="S185" i="13" s="1"/>
  <c r="S190" i="13" s="1"/>
  <c r="S195" i="13" s="1"/>
  <c r="Q268" i="13"/>
  <c r="Q273" i="13" s="1"/>
  <c r="Q264" i="13"/>
  <c r="Q53" i="13"/>
  <c r="Q34" i="9"/>
  <c r="S67" i="13" s="1"/>
  <c r="R59" i="13"/>
  <c r="R52" i="13" s="1"/>
  <c r="R263" i="13"/>
  <c r="R157" i="13"/>
  <c r="Q57" i="13"/>
  <c r="Q62" i="13" s="1"/>
  <c r="Q162" i="13"/>
  <c r="Q167" i="13" s="1"/>
  <c r="R208" i="13"/>
  <c r="R212" i="13"/>
  <c r="R217" i="13" s="1"/>
  <c r="R85" i="13"/>
  <c r="R90" i="13" s="1"/>
  <c r="R81" i="13"/>
  <c r="U7" i="13"/>
  <c r="S23" i="9"/>
  <c r="S25" i="9"/>
  <c r="R26" i="9"/>
  <c r="R41" i="9" l="1"/>
  <c r="T164" i="13" s="1"/>
  <c r="S212" i="13"/>
  <c r="S217" i="13" s="1"/>
  <c r="T150" i="13"/>
  <c r="T200" i="13"/>
  <c r="T202" i="13" s="1"/>
  <c r="T193" i="13" s="1"/>
  <c r="T306" i="13"/>
  <c r="T308" i="13" s="1"/>
  <c r="T299" i="13" s="1"/>
  <c r="T255" i="13"/>
  <c r="T257" i="13" s="1"/>
  <c r="T248" i="13" s="1"/>
  <c r="T328" i="13"/>
  <c r="T330" i="13" s="1"/>
  <c r="T321" i="13" s="1"/>
  <c r="T278" i="13"/>
  <c r="T280" i="13" s="1"/>
  <c r="T271" i="13" s="1"/>
  <c r="T172" i="13"/>
  <c r="T174" i="13" s="1"/>
  <c r="T165" i="13" s="1"/>
  <c r="T222" i="13"/>
  <c r="T224" i="13" s="1"/>
  <c r="T215" i="13" s="1"/>
  <c r="T117" i="13"/>
  <c r="T119" i="13" s="1"/>
  <c r="T110" i="13" s="1"/>
  <c r="S97" i="13"/>
  <c r="S88" i="13" s="1"/>
  <c r="S202" i="13"/>
  <c r="S193" i="13" s="1"/>
  <c r="S46" i="13"/>
  <c r="S37" i="13" s="1"/>
  <c r="T103" i="13"/>
  <c r="S107" i="13"/>
  <c r="S112" i="13" s="1"/>
  <c r="T44" i="13"/>
  <c r="T46" i="13" s="1"/>
  <c r="T37" i="13" s="1"/>
  <c r="T95" i="13"/>
  <c r="T97" i="13" s="1"/>
  <c r="T88" i="13" s="1"/>
  <c r="S292" i="13"/>
  <c r="S241" i="13"/>
  <c r="S119" i="13"/>
  <c r="S110" i="13" s="1"/>
  <c r="S308" i="13"/>
  <c r="S299" i="13" s="1"/>
  <c r="S69" i="13"/>
  <c r="S60" i="13" s="1"/>
  <c r="S330" i="13"/>
  <c r="S321" i="13" s="1"/>
  <c r="S257" i="13"/>
  <c r="S248" i="13" s="1"/>
  <c r="S280" i="13"/>
  <c r="S271" i="13" s="1"/>
  <c r="U329" i="13"/>
  <c r="U307" i="13"/>
  <c r="U256" i="13"/>
  <c r="U279" i="13"/>
  <c r="S224" i="13"/>
  <c r="S215" i="13" s="1"/>
  <c r="S318" i="13"/>
  <c r="S323" i="13" s="1"/>
  <c r="U223" i="13"/>
  <c r="T152" i="13"/>
  <c r="T143" i="13" s="1"/>
  <c r="U151" i="13"/>
  <c r="U201" i="13"/>
  <c r="U173" i="13"/>
  <c r="U118" i="13"/>
  <c r="U96" i="13"/>
  <c r="U68" i="13"/>
  <c r="U45" i="13"/>
  <c r="S85" i="13"/>
  <c r="S90" i="13" s="1"/>
  <c r="S140" i="13"/>
  <c r="S145" i="13" s="1"/>
  <c r="S34" i="13"/>
  <c r="S39" i="13" s="1"/>
  <c r="R9" i="17"/>
  <c r="Q16" i="17"/>
  <c r="Q22" i="17"/>
  <c r="Q28" i="17"/>
  <c r="T87" i="13"/>
  <c r="T80" i="13" s="1"/>
  <c r="T85" i="13" s="1"/>
  <c r="T90" i="13" s="1"/>
  <c r="T298" i="13"/>
  <c r="T291" i="13" s="1"/>
  <c r="T292" i="13" s="1"/>
  <c r="T192" i="13"/>
  <c r="T185" i="13" s="1"/>
  <c r="T190" i="13" s="1"/>
  <c r="T195" i="13" s="1"/>
  <c r="T247" i="13"/>
  <c r="T240" i="13" s="1"/>
  <c r="T245" i="13" s="1"/>
  <c r="T250" i="13" s="1"/>
  <c r="S33" i="9"/>
  <c r="S35" i="9" s="1"/>
  <c r="U109" i="13" s="1"/>
  <c r="U102" i="13" s="1"/>
  <c r="U107" i="13" s="1"/>
  <c r="U112" i="13" s="1"/>
  <c r="S40" i="9"/>
  <c r="S42" i="9" s="1"/>
  <c r="U214" i="13" s="1"/>
  <c r="U207" i="13" s="1"/>
  <c r="S47" i="9"/>
  <c r="S49" i="9" s="1"/>
  <c r="U320" i="13" s="1"/>
  <c r="U313" i="13" s="1"/>
  <c r="S48" i="9"/>
  <c r="U270" i="13" s="1"/>
  <c r="S186" i="13"/>
  <c r="T36" i="13"/>
  <c r="T29" i="13" s="1"/>
  <c r="T34" i="13" s="1"/>
  <c r="T39" i="13" s="1"/>
  <c r="T142" i="13"/>
  <c r="T135" i="13" s="1"/>
  <c r="T136" i="13" s="1"/>
  <c r="R158" i="13"/>
  <c r="R264" i="13"/>
  <c r="R268" i="13"/>
  <c r="R273" i="13" s="1"/>
  <c r="R34" i="9"/>
  <c r="T67" i="13" s="1"/>
  <c r="T69" i="13" s="1"/>
  <c r="T60" i="13" s="1"/>
  <c r="S263" i="13"/>
  <c r="S157" i="13"/>
  <c r="S59" i="13"/>
  <c r="S52" i="13" s="1"/>
  <c r="R162" i="13"/>
  <c r="R167" i="13" s="1"/>
  <c r="R53" i="13"/>
  <c r="R57" i="13"/>
  <c r="R62" i="13" s="1"/>
  <c r="T212" i="13"/>
  <c r="T217" i="13" s="1"/>
  <c r="T208" i="13"/>
  <c r="T314" i="13"/>
  <c r="T318" i="13"/>
  <c r="T323" i="13" s="1"/>
  <c r="T107" i="13"/>
  <c r="T112" i="13" s="1"/>
  <c r="V7" i="13"/>
  <c r="T23" i="9"/>
  <c r="S26" i="9"/>
  <c r="T25" i="9"/>
  <c r="S41" i="9" l="1"/>
  <c r="U164" i="13" s="1"/>
  <c r="U255" i="13"/>
  <c r="U257" i="13" s="1"/>
  <c r="U248" i="13" s="1"/>
  <c r="U150" i="13"/>
  <c r="U200" i="13"/>
  <c r="U202" i="13" s="1"/>
  <c r="U193" i="13" s="1"/>
  <c r="U306" i="13"/>
  <c r="U308" i="13" s="1"/>
  <c r="U299" i="13" s="1"/>
  <c r="U278" i="13"/>
  <c r="U280" i="13" s="1"/>
  <c r="U271" i="13" s="1"/>
  <c r="U328" i="13"/>
  <c r="U330" i="13" s="1"/>
  <c r="U321" i="13" s="1"/>
  <c r="U222" i="13"/>
  <c r="U224" i="13" s="1"/>
  <c r="U215" i="13" s="1"/>
  <c r="U172" i="13"/>
  <c r="U174" i="13" s="1"/>
  <c r="U165" i="13" s="1"/>
  <c r="U117" i="13"/>
  <c r="U119" i="13" s="1"/>
  <c r="U110" i="13" s="1"/>
  <c r="U95" i="13"/>
  <c r="U97" i="13" s="1"/>
  <c r="U88" i="13" s="1"/>
  <c r="U44" i="13"/>
  <c r="U46" i="13" s="1"/>
  <c r="U37" i="13" s="1"/>
  <c r="V329" i="13"/>
  <c r="V307" i="13"/>
  <c r="V279" i="13"/>
  <c r="V256" i="13"/>
  <c r="U152" i="13"/>
  <c r="U143" i="13" s="1"/>
  <c r="V223" i="13"/>
  <c r="V201" i="13"/>
  <c r="V151" i="13"/>
  <c r="V173" i="13"/>
  <c r="V118" i="13"/>
  <c r="V96" i="13"/>
  <c r="V45" i="13"/>
  <c r="V68" i="13"/>
  <c r="T81" i="13"/>
  <c r="U142" i="13"/>
  <c r="U135" i="13" s="1"/>
  <c r="U136" i="13" s="1"/>
  <c r="U36" i="13"/>
  <c r="U29" i="13" s="1"/>
  <c r="U34" i="13" s="1"/>
  <c r="U39" i="13" s="1"/>
  <c r="T241" i="13"/>
  <c r="T186" i="13"/>
  <c r="T296" i="13"/>
  <c r="T301" i="13" s="1"/>
  <c r="S9" i="17"/>
  <c r="R16" i="17"/>
  <c r="R22" i="17"/>
  <c r="R28" i="17"/>
  <c r="U87" i="13"/>
  <c r="U80" i="13" s="1"/>
  <c r="U81" i="13" s="1"/>
  <c r="T140" i="13"/>
  <c r="T145" i="13" s="1"/>
  <c r="T47" i="9"/>
  <c r="T49" i="9" s="1"/>
  <c r="V320" i="13" s="1"/>
  <c r="V313" i="13" s="1"/>
  <c r="T40" i="9"/>
  <c r="T42" i="9" s="1"/>
  <c r="V214" i="13" s="1"/>
  <c r="V207" i="13" s="1"/>
  <c r="T33" i="9"/>
  <c r="T35" i="9" s="1"/>
  <c r="V109" i="13" s="1"/>
  <c r="V102" i="13" s="1"/>
  <c r="T48" i="9"/>
  <c r="V270" i="13" s="1"/>
  <c r="T41" i="9"/>
  <c r="V164" i="13" s="1"/>
  <c r="T30" i="13"/>
  <c r="U247" i="13"/>
  <c r="U240" i="13" s="1"/>
  <c r="U245" i="13" s="1"/>
  <c r="U250" i="13" s="1"/>
  <c r="U298" i="13"/>
  <c r="U291" i="13" s="1"/>
  <c r="U296" i="13" s="1"/>
  <c r="U301" i="13" s="1"/>
  <c r="U192" i="13"/>
  <c r="U185" i="13" s="1"/>
  <c r="U190" i="13" s="1"/>
  <c r="U195" i="13" s="1"/>
  <c r="S162" i="13"/>
  <c r="S167" i="13" s="1"/>
  <c r="S264" i="13"/>
  <c r="S34" i="9"/>
  <c r="U67" i="13" s="1"/>
  <c r="U69" i="13" s="1"/>
  <c r="U60" i="13" s="1"/>
  <c r="T263" i="13"/>
  <c r="T59" i="13"/>
  <c r="T52" i="13" s="1"/>
  <c r="T157" i="13"/>
  <c r="S268" i="13"/>
  <c r="S273" i="13" s="1"/>
  <c r="S158" i="13"/>
  <c r="S53" i="13"/>
  <c r="S57" i="13"/>
  <c r="S62" i="13" s="1"/>
  <c r="U103" i="13"/>
  <c r="U208" i="13"/>
  <c r="U212" i="13"/>
  <c r="U217" i="13" s="1"/>
  <c r="U318" i="13"/>
  <c r="U323" i="13" s="1"/>
  <c r="U314" i="13"/>
  <c r="W7" i="13"/>
  <c r="U23" i="9"/>
  <c r="T26" i="9"/>
  <c r="U25" i="9"/>
  <c r="V150" i="13" l="1"/>
  <c r="V152" i="13" s="1"/>
  <c r="V143" i="13" s="1"/>
  <c r="V200" i="13"/>
  <c r="V202" i="13" s="1"/>
  <c r="V193" i="13" s="1"/>
  <c r="V255" i="13"/>
  <c r="V257" i="13" s="1"/>
  <c r="V248" i="13" s="1"/>
  <c r="V306" i="13"/>
  <c r="V308" i="13" s="1"/>
  <c r="V299" i="13" s="1"/>
  <c r="V278" i="13"/>
  <c r="V280" i="13" s="1"/>
  <c r="V271" i="13" s="1"/>
  <c r="V172" i="13"/>
  <c r="V174" i="13" s="1"/>
  <c r="V165" i="13" s="1"/>
  <c r="V328" i="13"/>
  <c r="V330" i="13" s="1"/>
  <c r="V321" i="13" s="1"/>
  <c r="V222" i="13"/>
  <c r="V224" i="13" s="1"/>
  <c r="V215" i="13" s="1"/>
  <c r="V95" i="13"/>
  <c r="V97" i="13" s="1"/>
  <c r="V88" i="13" s="1"/>
  <c r="V117" i="13"/>
  <c r="V119" i="13" s="1"/>
  <c r="V110" i="13" s="1"/>
  <c r="V44" i="13"/>
  <c r="V46" i="13" s="1"/>
  <c r="V37" i="13" s="1"/>
  <c r="W329" i="13"/>
  <c r="W279" i="13"/>
  <c r="W256" i="13"/>
  <c r="W307" i="13"/>
  <c r="W223" i="13"/>
  <c r="W173" i="13"/>
  <c r="W151" i="13"/>
  <c r="W201" i="13"/>
  <c r="W96" i="13"/>
  <c r="W118" i="13"/>
  <c r="W45" i="13"/>
  <c r="W68" i="13"/>
  <c r="U140" i="13"/>
  <c r="U145" i="13" s="1"/>
  <c r="U30" i="13"/>
  <c r="V87" i="13"/>
  <c r="V80" i="13" s="1"/>
  <c r="V81" i="13" s="1"/>
  <c r="U241" i="13"/>
  <c r="U292" i="13"/>
  <c r="U186" i="13"/>
  <c r="T9" i="17"/>
  <c r="S16" i="17"/>
  <c r="S28" i="17"/>
  <c r="S22" i="17"/>
  <c r="U85" i="13"/>
  <c r="U90" i="13" s="1"/>
  <c r="U47" i="9"/>
  <c r="U49" i="9" s="1"/>
  <c r="W320" i="13" s="1"/>
  <c r="W313" i="13" s="1"/>
  <c r="U40" i="9"/>
  <c r="U42" i="9" s="1"/>
  <c r="W214" i="13" s="1"/>
  <c r="W207" i="13" s="1"/>
  <c r="U33" i="9"/>
  <c r="U35" i="9" s="1"/>
  <c r="W109" i="13" s="1"/>
  <c r="W102" i="13" s="1"/>
  <c r="U48" i="9"/>
  <c r="W270" i="13" s="1"/>
  <c r="U41" i="9"/>
  <c r="W164" i="13" s="1"/>
  <c r="V247" i="13"/>
  <c r="V240" i="13" s="1"/>
  <c r="V241" i="13" s="1"/>
  <c r="V298" i="13"/>
  <c r="V291" i="13" s="1"/>
  <c r="V296" i="13" s="1"/>
  <c r="V301" i="13" s="1"/>
  <c r="V192" i="13"/>
  <c r="V185" i="13" s="1"/>
  <c r="V186" i="13" s="1"/>
  <c r="V36" i="13"/>
  <c r="V29" i="13" s="1"/>
  <c r="V34" i="13" s="1"/>
  <c r="V39" i="13" s="1"/>
  <c r="V142" i="13"/>
  <c r="V135" i="13" s="1"/>
  <c r="V136" i="13" s="1"/>
  <c r="T162" i="13"/>
  <c r="T167" i="13" s="1"/>
  <c r="T57" i="13"/>
  <c r="T62" i="13" s="1"/>
  <c r="T34" i="9"/>
  <c r="V67" i="13" s="1"/>
  <c r="V69" i="13" s="1"/>
  <c r="V60" i="13" s="1"/>
  <c r="U157" i="13"/>
  <c r="U263" i="13"/>
  <c r="U264" i="13" s="1"/>
  <c r="U59" i="13"/>
  <c r="U52" i="13" s="1"/>
  <c r="T268" i="13"/>
  <c r="T273" i="13" s="1"/>
  <c r="T53" i="13"/>
  <c r="T158" i="13"/>
  <c r="T264" i="13"/>
  <c r="V318" i="13"/>
  <c r="V323" i="13" s="1"/>
  <c r="V314" i="13"/>
  <c r="V212" i="13"/>
  <c r="V217" i="13" s="1"/>
  <c r="V208" i="13"/>
  <c r="V103" i="13"/>
  <c r="V107" i="13"/>
  <c r="V112" i="13" s="1"/>
  <c r="X7" i="13"/>
  <c r="V23" i="9"/>
  <c r="U26" i="9"/>
  <c r="V25" i="9"/>
  <c r="W150" i="13" l="1"/>
  <c r="W152" i="13" s="1"/>
  <c r="W143" i="13" s="1"/>
  <c r="W200" i="13"/>
  <c r="W202" i="13" s="1"/>
  <c r="W193" i="13" s="1"/>
  <c r="W306" i="13"/>
  <c r="W308" i="13" s="1"/>
  <c r="W299" i="13" s="1"/>
  <c r="W255" i="13"/>
  <c r="W257" i="13" s="1"/>
  <c r="W248" i="13" s="1"/>
  <c r="W278" i="13"/>
  <c r="W280" i="13" s="1"/>
  <c r="W271" i="13" s="1"/>
  <c r="W172" i="13"/>
  <c r="W174" i="13" s="1"/>
  <c r="W165" i="13" s="1"/>
  <c r="W328" i="13"/>
  <c r="W330" i="13" s="1"/>
  <c r="W321" i="13" s="1"/>
  <c r="W222" i="13"/>
  <c r="W224" i="13" s="1"/>
  <c r="W215" i="13" s="1"/>
  <c r="W95" i="13"/>
  <c r="W97" i="13" s="1"/>
  <c r="W88" i="13" s="1"/>
  <c r="W117" i="13"/>
  <c r="W119" i="13" s="1"/>
  <c r="W110" i="13" s="1"/>
  <c r="W44" i="13"/>
  <c r="W46" i="13" s="1"/>
  <c r="W37" i="13" s="1"/>
  <c r="X329" i="13"/>
  <c r="X307" i="13"/>
  <c r="X256" i="13"/>
  <c r="X279" i="13"/>
  <c r="X223" i="13"/>
  <c r="X173" i="13"/>
  <c r="X151" i="13"/>
  <c r="X201" i="13"/>
  <c r="X118" i="13"/>
  <c r="X96" i="13"/>
  <c r="X45" i="13"/>
  <c r="X68" i="13"/>
  <c r="V245" i="13"/>
  <c r="V250" i="13" s="1"/>
  <c r="V85" i="13"/>
  <c r="V90" i="13" s="1"/>
  <c r="W87" i="13"/>
  <c r="W80" i="13" s="1"/>
  <c r="W85" i="13" s="1"/>
  <c r="W90" i="13" s="1"/>
  <c r="W247" i="13"/>
  <c r="W240" i="13" s="1"/>
  <c r="W245" i="13" s="1"/>
  <c r="W250" i="13" s="1"/>
  <c r="V140" i="13"/>
  <c r="V145" i="13" s="1"/>
  <c r="W192" i="13"/>
  <c r="W185" i="13" s="1"/>
  <c r="W186" i="13" s="1"/>
  <c r="W142" i="13"/>
  <c r="W135" i="13" s="1"/>
  <c r="W140" i="13" s="1"/>
  <c r="W145" i="13" s="1"/>
  <c r="W36" i="13"/>
  <c r="W29" i="13" s="1"/>
  <c r="W30" i="13" s="1"/>
  <c r="W298" i="13"/>
  <c r="W291" i="13" s="1"/>
  <c r="W292" i="13" s="1"/>
  <c r="U9" i="17"/>
  <c r="T22" i="17"/>
  <c r="T28" i="17"/>
  <c r="T16" i="17"/>
  <c r="V190" i="13"/>
  <c r="V195" i="13" s="1"/>
  <c r="V292" i="13"/>
  <c r="W23" i="9"/>
  <c r="V33" i="9"/>
  <c r="V35" i="9" s="1"/>
  <c r="X109" i="13" s="1"/>
  <c r="X102" i="13" s="1"/>
  <c r="V47" i="9"/>
  <c r="V49" i="9" s="1"/>
  <c r="X320" i="13" s="1"/>
  <c r="X313" i="13" s="1"/>
  <c r="V40" i="9"/>
  <c r="V42" i="9" s="1"/>
  <c r="X214" i="13" s="1"/>
  <c r="X207" i="13" s="1"/>
  <c r="V48" i="9"/>
  <c r="X278" i="13" s="1"/>
  <c r="V41" i="9"/>
  <c r="X164" i="13" s="1"/>
  <c r="V30" i="13"/>
  <c r="U53" i="13"/>
  <c r="U57" i="13"/>
  <c r="U62" i="13" s="1"/>
  <c r="U268" i="13"/>
  <c r="U273" i="13" s="1"/>
  <c r="U162" i="13"/>
  <c r="U167" i="13" s="1"/>
  <c r="U158" i="13"/>
  <c r="U34" i="9"/>
  <c r="W67" i="13" s="1"/>
  <c r="W69" i="13" s="1"/>
  <c r="W60" i="13" s="1"/>
  <c r="V59" i="13"/>
  <c r="V52" i="13" s="1"/>
  <c r="V157" i="13"/>
  <c r="V263" i="13"/>
  <c r="W208" i="13"/>
  <c r="W212" i="13"/>
  <c r="W217" i="13" s="1"/>
  <c r="W314" i="13"/>
  <c r="W318" i="13"/>
  <c r="W323" i="13" s="1"/>
  <c r="W103" i="13"/>
  <c r="W107" i="13"/>
  <c r="W112" i="13" s="1"/>
  <c r="Y7" i="13"/>
  <c r="W25" i="9"/>
  <c r="V26" i="9"/>
  <c r="X150" i="13" l="1"/>
  <c r="X152" i="13" s="1"/>
  <c r="X143" i="13" s="1"/>
  <c r="X200" i="13"/>
  <c r="X202" i="13" s="1"/>
  <c r="X193" i="13" s="1"/>
  <c r="X270" i="13"/>
  <c r="X306" i="13"/>
  <c r="X308" i="13" s="1"/>
  <c r="X299" i="13" s="1"/>
  <c r="X255" i="13"/>
  <c r="X257" i="13" s="1"/>
  <c r="X248" i="13" s="1"/>
  <c r="X328" i="13"/>
  <c r="X330" i="13" s="1"/>
  <c r="X321" i="13" s="1"/>
  <c r="X222" i="13"/>
  <c r="X224" i="13" s="1"/>
  <c r="X215" i="13" s="1"/>
  <c r="X172" i="13"/>
  <c r="X174" i="13" s="1"/>
  <c r="X165" i="13" s="1"/>
  <c r="X87" i="13"/>
  <c r="X80" i="13" s="1"/>
  <c r="X85" i="13" s="1"/>
  <c r="X90" i="13" s="1"/>
  <c r="X95" i="13"/>
  <c r="X97" i="13" s="1"/>
  <c r="X88" i="13" s="1"/>
  <c r="X44" i="13"/>
  <c r="X46" i="13" s="1"/>
  <c r="X37" i="13" s="1"/>
  <c r="X117" i="13"/>
  <c r="X119" i="13" s="1"/>
  <c r="X110" i="13" s="1"/>
  <c r="Y329" i="13"/>
  <c r="Y279" i="13"/>
  <c r="Y256" i="13"/>
  <c r="Y307" i="13"/>
  <c r="X280" i="13"/>
  <c r="X271" i="13" s="1"/>
  <c r="Y223" i="13"/>
  <c r="Y173" i="13"/>
  <c r="Y201" i="13"/>
  <c r="Y151" i="13"/>
  <c r="Y96" i="13"/>
  <c r="Y118" i="13"/>
  <c r="W81" i="13"/>
  <c r="Y45" i="13"/>
  <c r="Y68" i="13"/>
  <c r="W190" i="13"/>
  <c r="W195" i="13" s="1"/>
  <c r="W34" i="13"/>
  <c r="W39" i="13" s="1"/>
  <c r="W241" i="13"/>
  <c r="W136" i="13"/>
  <c r="W296" i="13"/>
  <c r="W301" i="13" s="1"/>
  <c r="V9" i="17"/>
  <c r="U28" i="17"/>
  <c r="U22" i="17"/>
  <c r="U16" i="17"/>
  <c r="X23" i="9"/>
  <c r="W47" i="9"/>
  <c r="W49" i="9" s="1"/>
  <c r="Y320" i="13" s="1"/>
  <c r="Y313" i="13" s="1"/>
  <c r="W33" i="9"/>
  <c r="W35" i="9" s="1"/>
  <c r="Y109" i="13" s="1"/>
  <c r="Y102" i="13" s="1"/>
  <c r="W40" i="9"/>
  <c r="W42" i="9" s="1"/>
  <c r="Y214" i="13" s="1"/>
  <c r="Y207" i="13" s="1"/>
  <c r="W48" i="9"/>
  <c r="Y270" i="13" s="1"/>
  <c r="W41" i="9"/>
  <c r="Y164" i="13" s="1"/>
  <c r="X192" i="13"/>
  <c r="X185" i="13" s="1"/>
  <c r="X190" i="13" s="1"/>
  <c r="X195" i="13" s="1"/>
  <c r="X247" i="13"/>
  <c r="X240" i="13" s="1"/>
  <c r="X245" i="13" s="1"/>
  <c r="X250" i="13" s="1"/>
  <c r="X36" i="13"/>
  <c r="X29" i="13" s="1"/>
  <c r="X30" i="13" s="1"/>
  <c r="X298" i="13"/>
  <c r="X291" i="13" s="1"/>
  <c r="X292" i="13" s="1"/>
  <c r="X142" i="13"/>
  <c r="X135" i="13" s="1"/>
  <c r="X136" i="13" s="1"/>
  <c r="V264" i="13"/>
  <c r="V162" i="13"/>
  <c r="V167" i="13" s="1"/>
  <c r="V158" i="13"/>
  <c r="V57" i="13"/>
  <c r="V62" i="13" s="1"/>
  <c r="V53" i="13"/>
  <c r="V34" i="9"/>
  <c r="X67" i="13" s="1"/>
  <c r="X69" i="13" s="1"/>
  <c r="X60" i="13" s="1"/>
  <c r="W263" i="13"/>
  <c r="W59" i="13"/>
  <c r="W52" i="13" s="1"/>
  <c r="W157" i="13"/>
  <c r="V268" i="13"/>
  <c r="V273" i="13" s="1"/>
  <c r="X208" i="13"/>
  <c r="X212" i="13"/>
  <c r="X217" i="13" s="1"/>
  <c r="X314" i="13"/>
  <c r="X318" i="13"/>
  <c r="X323" i="13" s="1"/>
  <c r="X107" i="13"/>
  <c r="X112" i="13" s="1"/>
  <c r="X103" i="13"/>
  <c r="Z7" i="13"/>
  <c r="J30" i="13"/>
  <c r="W26" i="9"/>
  <c r="X25" i="9"/>
  <c r="Y150" i="13" l="1"/>
  <c r="Y152" i="13" s="1"/>
  <c r="Y143" i="13" s="1"/>
  <c r="Y200" i="13"/>
  <c r="Y202" i="13" s="1"/>
  <c r="Y193" i="13" s="1"/>
  <c r="Y255" i="13"/>
  <c r="Y257" i="13" s="1"/>
  <c r="Y248" i="13" s="1"/>
  <c r="Y306" i="13"/>
  <c r="Y308" i="13" s="1"/>
  <c r="Y299" i="13" s="1"/>
  <c r="Y222" i="13"/>
  <c r="Y224" i="13" s="1"/>
  <c r="Y215" i="13" s="1"/>
  <c r="Y278" i="13"/>
  <c r="Y280" i="13" s="1"/>
  <c r="Y271" i="13" s="1"/>
  <c r="Y172" i="13"/>
  <c r="Y174" i="13" s="1"/>
  <c r="Y165" i="13" s="1"/>
  <c r="Y328" i="13"/>
  <c r="Y330" i="13" s="1"/>
  <c r="Y321" i="13" s="1"/>
  <c r="X81" i="13"/>
  <c r="Y117" i="13"/>
  <c r="Y119" i="13" s="1"/>
  <c r="Y110" i="13" s="1"/>
  <c r="Y44" i="13"/>
  <c r="Y46" i="13" s="1"/>
  <c r="Y37" i="13" s="1"/>
  <c r="Y95" i="13"/>
  <c r="Y97" i="13" s="1"/>
  <c r="Y88" i="13" s="1"/>
  <c r="Z329" i="13"/>
  <c r="Z279" i="13"/>
  <c r="Z256" i="13"/>
  <c r="Z307" i="13"/>
  <c r="Z223" i="13"/>
  <c r="Z173" i="13"/>
  <c r="Z201" i="13"/>
  <c r="Z151" i="13"/>
  <c r="Z96" i="13"/>
  <c r="Z118" i="13"/>
  <c r="Z45" i="13"/>
  <c r="Z68" i="13"/>
  <c r="X296" i="13"/>
  <c r="X301" i="13" s="1"/>
  <c r="Y298" i="13"/>
  <c r="Y291" i="13" s="1"/>
  <c r="Y292" i="13" s="1"/>
  <c r="Y36" i="13"/>
  <c r="Y29" i="13" s="1"/>
  <c r="Y34" i="13" s="1"/>
  <c r="Y39" i="13" s="1"/>
  <c r="Y192" i="13"/>
  <c r="Y185" i="13" s="1"/>
  <c r="Y190" i="13" s="1"/>
  <c r="Y195" i="13" s="1"/>
  <c r="Y247" i="13"/>
  <c r="Y240" i="13" s="1"/>
  <c r="Y241" i="13" s="1"/>
  <c r="W9" i="17"/>
  <c r="V28" i="17"/>
  <c r="V22" i="17"/>
  <c r="V16" i="17"/>
  <c r="X140" i="13"/>
  <c r="X145" i="13" s="1"/>
  <c r="X34" i="13"/>
  <c r="X39" i="13" s="1"/>
  <c r="X241" i="13"/>
  <c r="X186" i="13"/>
  <c r="Y87" i="13"/>
  <c r="Y80" i="13" s="1"/>
  <c r="Y81" i="13" s="1"/>
  <c r="Y142" i="13"/>
  <c r="Y135" i="13" s="1"/>
  <c r="Y136" i="13" s="1"/>
  <c r="Y23" i="9"/>
  <c r="X47" i="9"/>
  <c r="X49" i="9" s="1"/>
  <c r="Z320" i="13" s="1"/>
  <c r="Z313" i="13" s="1"/>
  <c r="X33" i="9"/>
  <c r="X35" i="9" s="1"/>
  <c r="Z109" i="13" s="1"/>
  <c r="Z102" i="13" s="1"/>
  <c r="X40" i="9"/>
  <c r="X42" i="9" s="1"/>
  <c r="Z214" i="13" s="1"/>
  <c r="Z207" i="13" s="1"/>
  <c r="X48" i="9"/>
  <c r="Z270" i="13" s="1"/>
  <c r="X41" i="9"/>
  <c r="Z164" i="13" s="1"/>
  <c r="W34" i="9"/>
  <c r="Y67" i="13" s="1"/>
  <c r="Y69" i="13" s="1"/>
  <c r="Y60" i="13" s="1"/>
  <c r="X59" i="13"/>
  <c r="X52" i="13" s="1"/>
  <c r="X263" i="13"/>
  <c r="X157" i="13"/>
  <c r="W268" i="13"/>
  <c r="W273" i="13" s="1"/>
  <c r="W264" i="13"/>
  <c r="W57" i="13"/>
  <c r="W62" i="13" s="1"/>
  <c r="W162" i="13"/>
  <c r="W167" i="13" s="1"/>
  <c r="W158" i="13"/>
  <c r="W53" i="13"/>
  <c r="Y212" i="13"/>
  <c r="Y217" i="13" s="1"/>
  <c r="Y208" i="13"/>
  <c r="Y318" i="13"/>
  <c r="Y323" i="13" s="1"/>
  <c r="Y314" i="13"/>
  <c r="Y103" i="13"/>
  <c r="Y107" i="13"/>
  <c r="Y112" i="13" s="1"/>
  <c r="AA7" i="13"/>
  <c r="X26" i="9"/>
  <c r="Y25" i="9"/>
  <c r="Z150" i="13" l="1"/>
  <c r="Z222" i="13"/>
  <c r="Z200" i="13"/>
  <c r="Z202" i="13" s="1"/>
  <c r="Z193" i="13" s="1"/>
  <c r="Z255" i="13"/>
  <c r="Z257" i="13" s="1"/>
  <c r="Z248" i="13" s="1"/>
  <c r="Z306" i="13"/>
  <c r="Z308" i="13" s="1"/>
  <c r="Z299" i="13" s="1"/>
  <c r="Z328" i="13"/>
  <c r="Z330" i="13" s="1"/>
  <c r="Z321" i="13" s="1"/>
  <c r="Z278" i="13"/>
  <c r="Z280" i="13" s="1"/>
  <c r="Z271" i="13" s="1"/>
  <c r="Z172" i="13"/>
  <c r="Z174" i="13" s="1"/>
  <c r="Z165" i="13" s="1"/>
  <c r="Z117" i="13"/>
  <c r="Z119" i="13" s="1"/>
  <c r="Z110" i="13" s="1"/>
  <c r="Z95" i="13"/>
  <c r="Z97" i="13" s="1"/>
  <c r="Z88" i="13" s="1"/>
  <c r="Z44" i="13"/>
  <c r="Z46" i="13" s="1"/>
  <c r="Z37" i="13" s="1"/>
  <c r="AA329" i="13"/>
  <c r="AA279" i="13"/>
  <c r="AA256" i="13"/>
  <c r="AA307" i="13"/>
  <c r="Z224" i="13"/>
  <c r="Z215" i="13" s="1"/>
  <c r="AA223" i="13"/>
  <c r="AA173" i="13"/>
  <c r="AA201" i="13"/>
  <c r="AA151" i="13"/>
  <c r="Z152" i="13"/>
  <c r="Z143" i="13" s="1"/>
  <c r="AA96" i="13"/>
  <c r="AA118" i="13"/>
  <c r="AA45" i="13"/>
  <c r="AA68" i="13"/>
  <c r="Y85" i="13"/>
  <c r="Y90" i="13" s="1"/>
  <c r="Y296" i="13"/>
  <c r="Y301" i="13" s="1"/>
  <c r="Y30" i="13"/>
  <c r="Y186" i="13"/>
  <c r="Y245" i="13"/>
  <c r="Y250" i="13" s="1"/>
  <c r="Z36" i="13"/>
  <c r="Z29" i="13" s="1"/>
  <c r="Z30" i="13" s="1"/>
  <c r="X9" i="17"/>
  <c r="W22" i="17"/>
  <c r="W16" i="17"/>
  <c r="W28" i="17"/>
  <c r="Z192" i="13"/>
  <c r="Z185" i="13" s="1"/>
  <c r="Z186" i="13" s="1"/>
  <c r="Z247" i="13"/>
  <c r="Z240" i="13" s="1"/>
  <c r="Z241" i="13" s="1"/>
  <c r="Z298" i="13"/>
  <c r="Z291" i="13" s="1"/>
  <c r="Z292" i="13" s="1"/>
  <c r="Y140" i="13"/>
  <c r="Y145" i="13" s="1"/>
  <c r="Z142" i="13"/>
  <c r="Z135" i="13" s="1"/>
  <c r="Z136" i="13" s="1"/>
  <c r="Z23" i="9"/>
  <c r="Y47" i="9"/>
  <c r="Y49" i="9" s="1"/>
  <c r="AA320" i="13" s="1"/>
  <c r="AA313" i="13" s="1"/>
  <c r="Y33" i="9"/>
  <c r="Y35" i="9" s="1"/>
  <c r="AA109" i="13" s="1"/>
  <c r="AA102" i="13" s="1"/>
  <c r="Y40" i="9"/>
  <c r="Y42" i="9" s="1"/>
  <c r="AA214" i="13" s="1"/>
  <c r="AA207" i="13" s="1"/>
  <c r="Y48" i="9"/>
  <c r="AA270" i="13" s="1"/>
  <c r="Y41" i="9"/>
  <c r="AA164" i="13" s="1"/>
  <c r="Z87" i="13"/>
  <c r="Z80" i="13" s="1"/>
  <c r="Z85" i="13" s="1"/>
  <c r="Z90" i="13" s="1"/>
  <c r="X162" i="13"/>
  <c r="X167" i="13" s="1"/>
  <c r="X268" i="13"/>
  <c r="X273" i="13" s="1"/>
  <c r="X57" i="13"/>
  <c r="X62" i="13" s="1"/>
  <c r="X158" i="13"/>
  <c r="X53" i="13"/>
  <c r="X264" i="13"/>
  <c r="X34" i="9"/>
  <c r="Z67" i="13" s="1"/>
  <c r="Z69" i="13" s="1"/>
  <c r="Z60" i="13" s="1"/>
  <c r="Y263" i="13"/>
  <c r="Y157" i="13"/>
  <c r="Y59" i="13"/>
  <c r="Y52" i="13" s="1"/>
  <c r="Z208" i="13"/>
  <c r="Z212" i="13"/>
  <c r="Z217" i="13" s="1"/>
  <c r="Z314" i="13"/>
  <c r="Z318" i="13"/>
  <c r="Z323" i="13" s="1"/>
  <c r="Z107" i="13"/>
  <c r="Z112" i="13" s="1"/>
  <c r="Z103" i="13"/>
  <c r="AB7" i="13"/>
  <c r="Y26" i="9"/>
  <c r="Z25" i="9"/>
  <c r="AA172" i="13" l="1"/>
  <c r="AA174" i="13" s="1"/>
  <c r="AA165" i="13" s="1"/>
  <c r="AA150" i="13"/>
  <c r="AA152" i="13" s="1"/>
  <c r="AA143" i="13" s="1"/>
  <c r="AA200" i="13"/>
  <c r="AA202" i="13" s="1"/>
  <c r="AA193" i="13" s="1"/>
  <c r="AA278" i="13"/>
  <c r="AA280" i="13" s="1"/>
  <c r="AA271" i="13" s="1"/>
  <c r="AA255" i="13"/>
  <c r="AA257" i="13" s="1"/>
  <c r="AA248" i="13" s="1"/>
  <c r="AA306" i="13"/>
  <c r="AA308" i="13" s="1"/>
  <c r="AA299" i="13" s="1"/>
  <c r="AA222" i="13"/>
  <c r="AA224" i="13" s="1"/>
  <c r="AA215" i="13" s="1"/>
  <c r="AA328" i="13"/>
  <c r="AA330" i="13" s="1"/>
  <c r="AA321" i="13" s="1"/>
  <c r="AA95" i="13"/>
  <c r="AA97" i="13" s="1"/>
  <c r="AA88" i="13" s="1"/>
  <c r="AA117" i="13"/>
  <c r="AA119" i="13" s="1"/>
  <c r="AA110" i="13" s="1"/>
  <c r="AA44" i="13"/>
  <c r="AA46" i="13" s="1"/>
  <c r="AA37" i="13" s="1"/>
  <c r="AB329" i="13"/>
  <c r="AB307" i="13"/>
  <c r="AB279" i="13"/>
  <c r="AB256" i="13"/>
  <c r="AB223" i="13"/>
  <c r="AB151" i="13"/>
  <c r="AB173" i="13"/>
  <c r="AB201" i="13"/>
  <c r="AB96" i="13"/>
  <c r="AB118" i="13"/>
  <c r="AB68" i="13"/>
  <c r="AB45" i="13"/>
  <c r="Z81" i="13"/>
  <c r="Z34" i="13"/>
  <c r="Z39" i="13" s="1"/>
  <c r="AA87" i="13"/>
  <c r="AA80" i="13" s="1"/>
  <c r="AA85" i="13" s="1"/>
  <c r="AA90" i="13" s="1"/>
  <c r="Z140" i="13"/>
  <c r="Z145" i="13" s="1"/>
  <c r="Z190" i="13"/>
  <c r="Z195" i="13" s="1"/>
  <c r="Y9" i="17"/>
  <c r="X28" i="17"/>
  <c r="X16" i="17"/>
  <c r="X22" i="17"/>
  <c r="Z245" i="13"/>
  <c r="Z250" i="13" s="1"/>
  <c r="Z296" i="13"/>
  <c r="Z301" i="13" s="1"/>
  <c r="AA142" i="13"/>
  <c r="AA135" i="13" s="1"/>
  <c r="AA136" i="13" s="1"/>
  <c r="AA36" i="13"/>
  <c r="AA29" i="13" s="1"/>
  <c r="AA34" i="13" s="1"/>
  <c r="AA39" i="13" s="1"/>
  <c r="AA192" i="13"/>
  <c r="AA185" i="13" s="1"/>
  <c r="AA190" i="13" s="1"/>
  <c r="AA195" i="13" s="1"/>
  <c r="AA298" i="13"/>
  <c r="AA291" i="13" s="1"/>
  <c r="AA296" i="13" s="1"/>
  <c r="AA301" i="13" s="1"/>
  <c r="AA23" i="9"/>
  <c r="Z40" i="9"/>
  <c r="Z42" i="9" s="1"/>
  <c r="AB214" i="13" s="1"/>
  <c r="AB207" i="13" s="1"/>
  <c r="Z33" i="9"/>
  <c r="Z35" i="9" s="1"/>
  <c r="AB109" i="13" s="1"/>
  <c r="AB102" i="13" s="1"/>
  <c r="Z47" i="9"/>
  <c r="Z49" i="9" s="1"/>
  <c r="AB320" i="13" s="1"/>
  <c r="AB313" i="13" s="1"/>
  <c r="Z48" i="9"/>
  <c r="AB270" i="13" s="1"/>
  <c r="Z41" i="9"/>
  <c r="AB164" i="13" s="1"/>
  <c r="AA247" i="13"/>
  <c r="AA240" i="13" s="1"/>
  <c r="AA245" i="13" s="1"/>
  <c r="AA250" i="13" s="1"/>
  <c r="Y158" i="13"/>
  <c r="Y162" i="13"/>
  <c r="Y167" i="13" s="1"/>
  <c r="Y53" i="13"/>
  <c r="Y57" i="13"/>
  <c r="Y62" i="13" s="1"/>
  <c r="Y34" i="9"/>
  <c r="AA67" i="13" s="1"/>
  <c r="AA69" i="13" s="1"/>
  <c r="AA60" i="13" s="1"/>
  <c r="Z59" i="13"/>
  <c r="Z52" i="13" s="1"/>
  <c r="Z157" i="13"/>
  <c r="Z263" i="13"/>
  <c r="Y264" i="13"/>
  <c r="Y268" i="13"/>
  <c r="Y273" i="13" s="1"/>
  <c r="AA208" i="13"/>
  <c r="AA212" i="13"/>
  <c r="AA217" i="13" s="1"/>
  <c r="AA314" i="13"/>
  <c r="AA318" i="13"/>
  <c r="AA323" i="13" s="1"/>
  <c r="AA103" i="13"/>
  <c r="AA107" i="13"/>
  <c r="AA112" i="13" s="1"/>
  <c r="AC7" i="13"/>
  <c r="AA25" i="9"/>
  <c r="Z26" i="9"/>
  <c r="AB172" i="13" l="1"/>
  <c r="AB174" i="13" s="1"/>
  <c r="AB165" i="13" s="1"/>
  <c r="AB200" i="13"/>
  <c r="AB202" i="13" s="1"/>
  <c r="AB193" i="13" s="1"/>
  <c r="AB150" i="13"/>
  <c r="AB152" i="13" s="1"/>
  <c r="AB143" i="13" s="1"/>
  <c r="AB306" i="13"/>
  <c r="AB308" i="13" s="1"/>
  <c r="AB299" i="13" s="1"/>
  <c r="AB278" i="13"/>
  <c r="AB280" i="13" s="1"/>
  <c r="AB271" i="13" s="1"/>
  <c r="AB255" i="13"/>
  <c r="AB257" i="13" s="1"/>
  <c r="AB248" i="13" s="1"/>
  <c r="AB222" i="13"/>
  <c r="AB224" i="13" s="1"/>
  <c r="AB215" i="13" s="1"/>
  <c r="AB328" i="13"/>
  <c r="AB330" i="13" s="1"/>
  <c r="AB321" i="13" s="1"/>
  <c r="AB95" i="13"/>
  <c r="AB97" i="13" s="1"/>
  <c r="AB88" i="13" s="1"/>
  <c r="AB117" i="13"/>
  <c r="AB119" i="13" s="1"/>
  <c r="AB110" i="13" s="1"/>
  <c r="AB44" i="13"/>
  <c r="AB46" i="13" s="1"/>
  <c r="AB37" i="13" s="1"/>
  <c r="AC329" i="13"/>
  <c r="AC307" i="13"/>
  <c r="AC279" i="13"/>
  <c r="AC256" i="13"/>
  <c r="AC223" i="13"/>
  <c r="AC151" i="13"/>
  <c r="AC201" i="13"/>
  <c r="AC173" i="13"/>
  <c r="AC96" i="13"/>
  <c r="AC118" i="13"/>
  <c r="AC68" i="13"/>
  <c r="AC45" i="13"/>
  <c r="AA241" i="13"/>
  <c r="AA81" i="13"/>
  <c r="AB36" i="13"/>
  <c r="AB29" i="13" s="1"/>
  <c r="AB34" i="13" s="1"/>
  <c r="AB39" i="13" s="1"/>
  <c r="AA186" i="13"/>
  <c r="AA30" i="13"/>
  <c r="AA140" i="13"/>
  <c r="AA145" i="13" s="1"/>
  <c r="Z9" i="17"/>
  <c r="Y28" i="17"/>
  <c r="Y16" i="17"/>
  <c r="Y22" i="17"/>
  <c r="AB87" i="13"/>
  <c r="AB80" i="13" s="1"/>
  <c r="AB81" i="13" s="1"/>
  <c r="AB298" i="13"/>
  <c r="AB291" i="13" s="1"/>
  <c r="AB292" i="13" s="1"/>
  <c r="AB247" i="13"/>
  <c r="AB240" i="13" s="1"/>
  <c r="AB241" i="13" s="1"/>
  <c r="AB23" i="9"/>
  <c r="AA47" i="9"/>
  <c r="AA49" i="9" s="1"/>
  <c r="AC320" i="13" s="1"/>
  <c r="AC313" i="13" s="1"/>
  <c r="AA40" i="9"/>
  <c r="AA42" i="9" s="1"/>
  <c r="AC214" i="13" s="1"/>
  <c r="AC207" i="13" s="1"/>
  <c r="AA33" i="9"/>
  <c r="AA35" i="9" s="1"/>
  <c r="AC109" i="13" s="1"/>
  <c r="AC102" i="13" s="1"/>
  <c r="AA48" i="9"/>
  <c r="AC278" i="13" s="1"/>
  <c r="AA41" i="9"/>
  <c r="AC164" i="13" s="1"/>
  <c r="AA292" i="13"/>
  <c r="AB142" i="13"/>
  <c r="AB135" i="13" s="1"/>
  <c r="AB140" i="13" s="1"/>
  <c r="AB145" i="13" s="1"/>
  <c r="AB192" i="13"/>
  <c r="AB185" i="13" s="1"/>
  <c r="AB186" i="13" s="1"/>
  <c r="Z34" i="9"/>
  <c r="AB67" i="13" s="1"/>
  <c r="AB69" i="13" s="1"/>
  <c r="AB60" i="13" s="1"/>
  <c r="AA263" i="13"/>
  <c r="AA268" i="13" s="1"/>
  <c r="AA59" i="13"/>
  <c r="AA52" i="13" s="1"/>
  <c r="AA157" i="13"/>
  <c r="Z53" i="13"/>
  <c r="Z268" i="13"/>
  <c r="Z273" i="13" s="1"/>
  <c r="Z57" i="13"/>
  <c r="Z62" i="13" s="1"/>
  <c r="Z264" i="13"/>
  <c r="Z162" i="13"/>
  <c r="Z167" i="13" s="1"/>
  <c r="Z158" i="13"/>
  <c r="AB212" i="13"/>
  <c r="AB217" i="13" s="1"/>
  <c r="AB208" i="13"/>
  <c r="AB314" i="13"/>
  <c r="AB318" i="13"/>
  <c r="AB323" i="13" s="1"/>
  <c r="AB107" i="13"/>
  <c r="AB112" i="13" s="1"/>
  <c r="AB103" i="13"/>
  <c r="AD7" i="13"/>
  <c r="AA26" i="9"/>
  <c r="AB25" i="9"/>
  <c r="AC150" i="13" l="1"/>
  <c r="AC152" i="13" s="1"/>
  <c r="AC143" i="13" s="1"/>
  <c r="AC172" i="13"/>
  <c r="AC174" i="13" s="1"/>
  <c r="AC165" i="13" s="1"/>
  <c r="AC192" i="13"/>
  <c r="AC185" i="13" s="1"/>
  <c r="AC190" i="13" s="1"/>
  <c r="AC195" i="13" s="1"/>
  <c r="AC142" i="13"/>
  <c r="AC135" i="13" s="1"/>
  <c r="AC140" i="13" s="1"/>
  <c r="AC145" i="13" s="1"/>
  <c r="AC200" i="13"/>
  <c r="AC202" i="13" s="1"/>
  <c r="AC193" i="13" s="1"/>
  <c r="AC255" i="13"/>
  <c r="AC257" i="13" s="1"/>
  <c r="AC248" i="13" s="1"/>
  <c r="AC306" i="13"/>
  <c r="AC308" i="13" s="1"/>
  <c r="AC299" i="13" s="1"/>
  <c r="AC222" i="13"/>
  <c r="AC224" i="13" s="1"/>
  <c r="AC215" i="13" s="1"/>
  <c r="AC270" i="13"/>
  <c r="AC328" i="13"/>
  <c r="AC330" i="13" s="1"/>
  <c r="AC321" i="13" s="1"/>
  <c r="AC95" i="13"/>
  <c r="AC97" i="13" s="1"/>
  <c r="AC88" i="13" s="1"/>
  <c r="AC117" i="13"/>
  <c r="AC119" i="13" s="1"/>
  <c r="AC110" i="13" s="1"/>
  <c r="AC36" i="13"/>
  <c r="AC29" i="13" s="1"/>
  <c r="AC34" i="13" s="1"/>
  <c r="AC39" i="13" s="1"/>
  <c r="AC44" i="13"/>
  <c r="AC46" i="13" s="1"/>
  <c r="AC37" i="13" s="1"/>
  <c r="AC280" i="13"/>
  <c r="AC271" i="13" s="1"/>
  <c r="AD329" i="13"/>
  <c r="AD279" i="13"/>
  <c r="AD307" i="13"/>
  <c r="AD256" i="13"/>
  <c r="AD223" i="13"/>
  <c r="AD151" i="13"/>
  <c r="AD201" i="13"/>
  <c r="AD173" i="13"/>
  <c r="AD96" i="13"/>
  <c r="AD118" i="13"/>
  <c r="AD68" i="13"/>
  <c r="AD45" i="13"/>
  <c r="AB30" i="13"/>
  <c r="AB85" i="13"/>
  <c r="AB90" i="13" s="1"/>
  <c r="AA264" i="13"/>
  <c r="AC298" i="13"/>
  <c r="AC291" i="13" s="1"/>
  <c r="AC292" i="13" s="1"/>
  <c r="AC247" i="13"/>
  <c r="AC240" i="13" s="1"/>
  <c r="AC241" i="13" s="1"/>
  <c r="AB190" i="13"/>
  <c r="AB195" i="13" s="1"/>
  <c r="AB136" i="13"/>
  <c r="AB245" i="13"/>
  <c r="AB250" i="13" s="1"/>
  <c r="AA9" i="17"/>
  <c r="Z22" i="17"/>
  <c r="Z28" i="17"/>
  <c r="Z16" i="17"/>
  <c r="AB296" i="13"/>
  <c r="AB301" i="13" s="1"/>
  <c r="AC87" i="13"/>
  <c r="AC80" i="13" s="1"/>
  <c r="AC85" i="13" s="1"/>
  <c r="AC90" i="13" s="1"/>
  <c r="AC23" i="9"/>
  <c r="AB40" i="9"/>
  <c r="AB42" i="9" s="1"/>
  <c r="AD214" i="13" s="1"/>
  <c r="AD207" i="13" s="1"/>
  <c r="AB47" i="9"/>
  <c r="AB49" i="9" s="1"/>
  <c r="AD320" i="13" s="1"/>
  <c r="AD313" i="13" s="1"/>
  <c r="AB33" i="9"/>
  <c r="AB35" i="9" s="1"/>
  <c r="AD109" i="13" s="1"/>
  <c r="AD102" i="13" s="1"/>
  <c r="AB48" i="9"/>
  <c r="AD270" i="13" s="1"/>
  <c r="AB41" i="9"/>
  <c r="AD164" i="13" s="1"/>
  <c r="AA273" i="13"/>
  <c r="AA158" i="13"/>
  <c r="AA162" i="13"/>
  <c r="AA167" i="13" s="1"/>
  <c r="AA57" i="13"/>
  <c r="AA62" i="13" s="1"/>
  <c r="AA53" i="13"/>
  <c r="AA34" i="9"/>
  <c r="AC67" i="13" s="1"/>
  <c r="AC69" i="13" s="1"/>
  <c r="AC60" i="13" s="1"/>
  <c r="AB263" i="13"/>
  <c r="AB59" i="13"/>
  <c r="AB52" i="13" s="1"/>
  <c r="AB157" i="13"/>
  <c r="AC208" i="13"/>
  <c r="AC212" i="13"/>
  <c r="AC217" i="13" s="1"/>
  <c r="AC314" i="13"/>
  <c r="AC318" i="13"/>
  <c r="AC323" i="13" s="1"/>
  <c r="AC107" i="13"/>
  <c r="AC112" i="13" s="1"/>
  <c r="AC103" i="13"/>
  <c r="AE7" i="13"/>
  <c r="AB26" i="9"/>
  <c r="AC25" i="9"/>
  <c r="AC186" i="13" l="1"/>
  <c r="AC136" i="13"/>
  <c r="AD200" i="13"/>
  <c r="AD202" i="13" s="1"/>
  <c r="AD193" i="13" s="1"/>
  <c r="AD150" i="13"/>
  <c r="AD172" i="13"/>
  <c r="AD174" i="13" s="1"/>
  <c r="AD165" i="13" s="1"/>
  <c r="AD306" i="13"/>
  <c r="AD308" i="13" s="1"/>
  <c r="AD299" i="13" s="1"/>
  <c r="AD255" i="13"/>
  <c r="AD257" i="13" s="1"/>
  <c r="AD248" i="13" s="1"/>
  <c r="AD278" i="13"/>
  <c r="AD280" i="13" s="1"/>
  <c r="AD271" i="13" s="1"/>
  <c r="AD328" i="13"/>
  <c r="AD330" i="13" s="1"/>
  <c r="AD321" i="13" s="1"/>
  <c r="AD222" i="13"/>
  <c r="AD224" i="13" s="1"/>
  <c r="AD215" i="13" s="1"/>
  <c r="AC30" i="13"/>
  <c r="AD95" i="13"/>
  <c r="AD97" i="13" s="1"/>
  <c r="AD88" i="13" s="1"/>
  <c r="AD117" i="13"/>
  <c r="AD119" i="13" s="1"/>
  <c r="AD110" i="13" s="1"/>
  <c r="AD44" i="13"/>
  <c r="AD46" i="13" s="1"/>
  <c r="AD37" i="13" s="1"/>
  <c r="AE329" i="13"/>
  <c r="AE307" i="13"/>
  <c r="AE279" i="13"/>
  <c r="AE256" i="13"/>
  <c r="AE223" i="13"/>
  <c r="AD152" i="13"/>
  <c r="AD143" i="13" s="1"/>
  <c r="AE201" i="13"/>
  <c r="AE151" i="13"/>
  <c r="AE173" i="13"/>
  <c r="AE118" i="13"/>
  <c r="AE96" i="13"/>
  <c r="AE68" i="13"/>
  <c r="AE45" i="13"/>
  <c r="AC296" i="13"/>
  <c r="AC301" i="13" s="1"/>
  <c r="AC245" i="13"/>
  <c r="AC250" i="13" s="1"/>
  <c r="AC81" i="13"/>
  <c r="AB9" i="17"/>
  <c r="AA16" i="17"/>
  <c r="AA28" i="17"/>
  <c r="AA22" i="17"/>
  <c r="AD87" i="13"/>
  <c r="AD80" i="13" s="1"/>
  <c r="AD85" i="13" s="1"/>
  <c r="AD90" i="13" s="1"/>
  <c r="AD298" i="13"/>
  <c r="AD291" i="13" s="1"/>
  <c r="AD296" i="13" s="1"/>
  <c r="AD301" i="13" s="1"/>
  <c r="AD247" i="13"/>
  <c r="AD240" i="13" s="1"/>
  <c r="AD241" i="13" s="1"/>
  <c r="AD36" i="13"/>
  <c r="AD29" i="13" s="1"/>
  <c r="AD34" i="13" s="1"/>
  <c r="AD39" i="13" s="1"/>
  <c r="AD192" i="13"/>
  <c r="AD185" i="13" s="1"/>
  <c r="AD186" i="13" s="1"/>
  <c r="AD23" i="9"/>
  <c r="AC40" i="9"/>
  <c r="AC42" i="9" s="1"/>
  <c r="AE214" i="13" s="1"/>
  <c r="AE207" i="13" s="1"/>
  <c r="AC47" i="9"/>
  <c r="AC49" i="9" s="1"/>
  <c r="AE320" i="13" s="1"/>
  <c r="AE313" i="13" s="1"/>
  <c r="AC33" i="9"/>
  <c r="AC35" i="9" s="1"/>
  <c r="AE109" i="13" s="1"/>
  <c r="AE102" i="13" s="1"/>
  <c r="AC48" i="9"/>
  <c r="AE270" i="13" s="1"/>
  <c r="AC41" i="9"/>
  <c r="AE164" i="13" s="1"/>
  <c r="AD142" i="13"/>
  <c r="AD135" i="13" s="1"/>
  <c r="AD140" i="13" s="1"/>
  <c r="AD145" i="13" s="1"/>
  <c r="AB158" i="13"/>
  <c r="AB57" i="13"/>
  <c r="AB62" i="13" s="1"/>
  <c r="AB53" i="13"/>
  <c r="AB268" i="13"/>
  <c r="AB273" i="13" s="1"/>
  <c r="AB34" i="9"/>
  <c r="AD67" i="13" s="1"/>
  <c r="AD69" i="13" s="1"/>
  <c r="AD60" i="13" s="1"/>
  <c r="AC157" i="13"/>
  <c r="AC59" i="13"/>
  <c r="AC52" i="13" s="1"/>
  <c r="AC263" i="13"/>
  <c r="AC268" i="13" s="1"/>
  <c r="AB264" i="13"/>
  <c r="AB162" i="13"/>
  <c r="AB167" i="13" s="1"/>
  <c r="AD212" i="13"/>
  <c r="AD217" i="13" s="1"/>
  <c r="AD208" i="13"/>
  <c r="AD318" i="13"/>
  <c r="AD323" i="13" s="1"/>
  <c r="AD314" i="13"/>
  <c r="AD103" i="13"/>
  <c r="AD107" i="13"/>
  <c r="AD112" i="13" s="1"/>
  <c r="AF7" i="13"/>
  <c r="AC26" i="9"/>
  <c r="AD25" i="9"/>
  <c r="AE150" i="13" l="1"/>
  <c r="AE152" i="13" s="1"/>
  <c r="AE143" i="13" s="1"/>
  <c r="AE200" i="13"/>
  <c r="AE255" i="13"/>
  <c r="AE257" i="13" s="1"/>
  <c r="AE248" i="13" s="1"/>
  <c r="AE306" i="13"/>
  <c r="AE308" i="13" s="1"/>
  <c r="AE299" i="13" s="1"/>
  <c r="AE278" i="13"/>
  <c r="AE280" i="13" s="1"/>
  <c r="AE271" i="13" s="1"/>
  <c r="AE172" i="13"/>
  <c r="AE174" i="13" s="1"/>
  <c r="AE165" i="13" s="1"/>
  <c r="AE328" i="13"/>
  <c r="AE330" i="13" s="1"/>
  <c r="AE321" i="13" s="1"/>
  <c r="AE222" i="13"/>
  <c r="AE224" i="13" s="1"/>
  <c r="AE215" i="13" s="1"/>
  <c r="AE117" i="13"/>
  <c r="AE119" i="13" s="1"/>
  <c r="AE110" i="13" s="1"/>
  <c r="AE44" i="13"/>
  <c r="AE46" i="13" s="1"/>
  <c r="AE37" i="13" s="1"/>
  <c r="AE95" i="13"/>
  <c r="AE97" i="13" s="1"/>
  <c r="AE88" i="13" s="1"/>
  <c r="AF329" i="13"/>
  <c r="AF307" i="13"/>
  <c r="AF279" i="13"/>
  <c r="AF256" i="13"/>
  <c r="AE202" i="13"/>
  <c r="AE193" i="13" s="1"/>
  <c r="AF223" i="13"/>
  <c r="AF201" i="13"/>
  <c r="AF151" i="13"/>
  <c r="AF173" i="13"/>
  <c r="AF118" i="13"/>
  <c r="AF96" i="13"/>
  <c r="AF68" i="13"/>
  <c r="AF45" i="13"/>
  <c r="AD190" i="13"/>
  <c r="AD195" i="13" s="1"/>
  <c r="AE142" i="13"/>
  <c r="AE135" i="13" s="1"/>
  <c r="AE136" i="13" s="1"/>
  <c r="AD292" i="13"/>
  <c r="AD136" i="13"/>
  <c r="AD81" i="13"/>
  <c r="AC9" i="17"/>
  <c r="AB16" i="17"/>
  <c r="AB28" i="17"/>
  <c r="AB22" i="17"/>
  <c r="AD30" i="13"/>
  <c r="AE36" i="13"/>
  <c r="AE29" i="13" s="1"/>
  <c r="AE34" i="13" s="1"/>
  <c r="AE39" i="13" s="1"/>
  <c r="AE23" i="9"/>
  <c r="AD40" i="9"/>
  <c r="AD42" i="9" s="1"/>
  <c r="AF214" i="13" s="1"/>
  <c r="AF207" i="13" s="1"/>
  <c r="AD33" i="9"/>
  <c r="AD35" i="9" s="1"/>
  <c r="AF109" i="13" s="1"/>
  <c r="AF102" i="13" s="1"/>
  <c r="AD47" i="9"/>
  <c r="AD49" i="9" s="1"/>
  <c r="AF320" i="13" s="1"/>
  <c r="AF313" i="13" s="1"/>
  <c r="AD48" i="9"/>
  <c r="AF270" i="13" s="1"/>
  <c r="AD41" i="9"/>
  <c r="AF164" i="13" s="1"/>
  <c r="AE87" i="13"/>
  <c r="AE80" i="13" s="1"/>
  <c r="AE85" i="13" s="1"/>
  <c r="AE90" i="13" s="1"/>
  <c r="AE192" i="13"/>
  <c r="AE185" i="13" s="1"/>
  <c r="AE190" i="13" s="1"/>
  <c r="AE195" i="13" s="1"/>
  <c r="AD245" i="13"/>
  <c r="AD250" i="13" s="1"/>
  <c r="AE247" i="13"/>
  <c r="AE240" i="13" s="1"/>
  <c r="AE241" i="13" s="1"/>
  <c r="AE298" i="13"/>
  <c r="AE291" i="13" s="1"/>
  <c r="AE292" i="13" s="1"/>
  <c r="AC34" i="9"/>
  <c r="AE67" i="13" s="1"/>
  <c r="AE69" i="13" s="1"/>
  <c r="AE60" i="13" s="1"/>
  <c r="AD263" i="13"/>
  <c r="AD157" i="13"/>
  <c r="AD162" i="13" s="1"/>
  <c r="AD59" i="13"/>
  <c r="AD52" i="13" s="1"/>
  <c r="AC57" i="13"/>
  <c r="AC62" i="13" s="1"/>
  <c r="AC53" i="13"/>
  <c r="AC162" i="13"/>
  <c r="AC167" i="13" s="1"/>
  <c r="AC273" i="13"/>
  <c r="AC264" i="13"/>
  <c r="AC158" i="13"/>
  <c r="AE212" i="13"/>
  <c r="AE217" i="13" s="1"/>
  <c r="AE208" i="13"/>
  <c r="AE314" i="13"/>
  <c r="AE318" i="13"/>
  <c r="AE323" i="13" s="1"/>
  <c r="AE107" i="13"/>
  <c r="AE112" i="13" s="1"/>
  <c r="AE103" i="13"/>
  <c r="AG7" i="13"/>
  <c r="AE25" i="9"/>
  <c r="AD26" i="9"/>
  <c r="AF172" i="13" l="1"/>
  <c r="AF174" i="13" s="1"/>
  <c r="AF165" i="13" s="1"/>
  <c r="AF150" i="13"/>
  <c r="AF200" i="13"/>
  <c r="AF202" i="13" s="1"/>
  <c r="AF193" i="13" s="1"/>
  <c r="AF306" i="13"/>
  <c r="AF308" i="13" s="1"/>
  <c r="AF299" i="13" s="1"/>
  <c r="AF255" i="13"/>
  <c r="AF257" i="13" s="1"/>
  <c r="AF248" i="13" s="1"/>
  <c r="AF328" i="13"/>
  <c r="AF330" i="13" s="1"/>
  <c r="AF321" i="13" s="1"/>
  <c r="AF278" i="13"/>
  <c r="AF280" i="13" s="1"/>
  <c r="AF271" i="13" s="1"/>
  <c r="AF222" i="13"/>
  <c r="AF224" i="13" s="1"/>
  <c r="AF215" i="13" s="1"/>
  <c r="AF95" i="13"/>
  <c r="AF97" i="13" s="1"/>
  <c r="AF88" i="13" s="1"/>
  <c r="AF117" i="13"/>
  <c r="AF119" i="13" s="1"/>
  <c r="AF110" i="13" s="1"/>
  <c r="AF44" i="13"/>
  <c r="AF46" i="13" s="1"/>
  <c r="AF37" i="13" s="1"/>
  <c r="AG329" i="13"/>
  <c r="AG307" i="13"/>
  <c r="AG279" i="13"/>
  <c r="AG256" i="13"/>
  <c r="AF152" i="13"/>
  <c r="AF143" i="13" s="1"/>
  <c r="AG223" i="13"/>
  <c r="AG201" i="13"/>
  <c r="AG151" i="13"/>
  <c r="AG173" i="13"/>
  <c r="AG118" i="13"/>
  <c r="AG96" i="13"/>
  <c r="AE140" i="13"/>
  <c r="AE145" i="13" s="1"/>
  <c r="AG68" i="13"/>
  <c r="AG45" i="13"/>
  <c r="AE81" i="13"/>
  <c r="AE245" i="13"/>
  <c r="AE250" i="13" s="1"/>
  <c r="AE186" i="13"/>
  <c r="AD9" i="17"/>
  <c r="AC22" i="17"/>
  <c r="AC28" i="17"/>
  <c r="AC16" i="17"/>
  <c r="AE296" i="13"/>
  <c r="AE301" i="13" s="1"/>
  <c r="AE30" i="13"/>
  <c r="AF192" i="13"/>
  <c r="AF185" i="13" s="1"/>
  <c r="AF186" i="13" s="1"/>
  <c r="AF247" i="13"/>
  <c r="AF240" i="13" s="1"/>
  <c r="AF241" i="13" s="1"/>
  <c r="AF36" i="13"/>
  <c r="AF29" i="13" s="1"/>
  <c r="AF30" i="13" s="1"/>
  <c r="AF142" i="13"/>
  <c r="AF135" i="13" s="1"/>
  <c r="AF140" i="13" s="1"/>
  <c r="AF145" i="13" s="1"/>
  <c r="AF23" i="9"/>
  <c r="AE33" i="9"/>
  <c r="AE35" i="9" s="1"/>
  <c r="AG109" i="13" s="1"/>
  <c r="AG102" i="13" s="1"/>
  <c r="AE40" i="9"/>
  <c r="AE42" i="9" s="1"/>
  <c r="AG214" i="13" s="1"/>
  <c r="AG207" i="13" s="1"/>
  <c r="AE47" i="9"/>
  <c r="AE49" i="9" s="1"/>
  <c r="AG320" i="13" s="1"/>
  <c r="AG313" i="13" s="1"/>
  <c r="AE48" i="9"/>
  <c r="AG270" i="13" s="1"/>
  <c r="AE41" i="9"/>
  <c r="AG172" i="13" s="1"/>
  <c r="AF87" i="13"/>
  <c r="AF80" i="13" s="1"/>
  <c r="AF81" i="13" s="1"/>
  <c r="AF298" i="13"/>
  <c r="AF291" i="13" s="1"/>
  <c r="AF292" i="13" s="1"/>
  <c r="AD57" i="13"/>
  <c r="AD62" i="13" s="1"/>
  <c r="AD53" i="13"/>
  <c r="AD167" i="13"/>
  <c r="AD158" i="13"/>
  <c r="AD264" i="13"/>
  <c r="AD268" i="13"/>
  <c r="AD273" i="13" s="1"/>
  <c r="AD34" i="9"/>
  <c r="AF67" i="13" s="1"/>
  <c r="AF69" i="13" s="1"/>
  <c r="AF60" i="13" s="1"/>
  <c r="AE157" i="13"/>
  <c r="AE59" i="13"/>
  <c r="AE52" i="13" s="1"/>
  <c r="AE263" i="13"/>
  <c r="AF212" i="13"/>
  <c r="AF217" i="13" s="1"/>
  <c r="AF208" i="13"/>
  <c r="AF314" i="13"/>
  <c r="AF318" i="13"/>
  <c r="AF323" i="13" s="1"/>
  <c r="AF103" i="13"/>
  <c r="AF107" i="13"/>
  <c r="AF112" i="13" s="1"/>
  <c r="AH7" i="13"/>
  <c r="AE26" i="9"/>
  <c r="AF25" i="9"/>
  <c r="AG164" i="13" l="1"/>
  <c r="AG222" i="13"/>
  <c r="AG200" i="13"/>
  <c r="AG202" i="13" s="1"/>
  <c r="AG193" i="13" s="1"/>
  <c r="AG150" i="13"/>
  <c r="AG152" i="13" s="1"/>
  <c r="AG143" i="13" s="1"/>
  <c r="AG328" i="13"/>
  <c r="AG330" i="13" s="1"/>
  <c r="AG321" i="13" s="1"/>
  <c r="AG255" i="13"/>
  <c r="AG257" i="13" s="1"/>
  <c r="AG248" i="13" s="1"/>
  <c r="AG306" i="13"/>
  <c r="AG308" i="13" s="1"/>
  <c r="AG299" i="13" s="1"/>
  <c r="AG278" i="13"/>
  <c r="AG280" i="13" s="1"/>
  <c r="AG271" i="13" s="1"/>
  <c r="AG95" i="13"/>
  <c r="AG97" i="13" s="1"/>
  <c r="AG88" i="13" s="1"/>
  <c r="AG117" i="13"/>
  <c r="AG119" i="13" s="1"/>
  <c r="AG110" i="13" s="1"/>
  <c r="AG44" i="13"/>
  <c r="AG46" i="13" s="1"/>
  <c r="AG37" i="13" s="1"/>
  <c r="AH329" i="13"/>
  <c r="AH307" i="13"/>
  <c r="AH279" i="13"/>
  <c r="AH256" i="13"/>
  <c r="AG224" i="13"/>
  <c r="AG215" i="13" s="1"/>
  <c r="AH223" i="13"/>
  <c r="AH201" i="13"/>
  <c r="AH151" i="13"/>
  <c r="AH173" i="13"/>
  <c r="AG174" i="13"/>
  <c r="AG165" i="13" s="1"/>
  <c r="AH118" i="13"/>
  <c r="AH96" i="13"/>
  <c r="AH45" i="13"/>
  <c r="AH68" i="13"/>
  <c r="AG36" i="13"/>
  <c r="AG29" i="13" s="1"/>
  <c r="AG34" i="13" s="1"/>
  <c r="AG39" i="13" s="1"/>
  <c r="AF245" i="13"/>
  <c r="AF250" i="13" s="1"/>
  <c r="AF136" i="13"/>
  <c r="AG87" i="13"/>
  <c r="AG80" i="13" s="1"/>
  <c r="AG81" i="13" s="1"/>
  <c r="AE9" i="17"/>
  <c r="AD22" i="17"/>
  <c r="AD16" i="17"/>
  <c r="AD28" i="17"/>
  <c r="AF85" i="13"/>
  <c r="AF90" i="13" s="1"/>
  <c r="AG298" i="13"/>
  <c r="AG291" i="13" s="1"/>
  <c r="AG292" i="13" s="1"/>
  <c r="AF190" i="13"/>
  <c r="AF195" i="13" s="1"/>
  <c r="AF34" i="13"/>
  <c r="AF39" i="13" s="1"/>
  <c r="AG142" i="13"/>
  <c r="AG135" i="13" s="1"/>
  <c r="AG140" i="13" s="1"/>
  <c r="AG145" i="13" s="1"/>
  <c r="AG247" i="13"/>
  <c r="AG240" i="13" s="1"/>
  <c r="AG241" i="13" s="1"/>
  <c r="AG23" i="9"/>
  <c r="AF40" i="9"/>
  <c r="AF42" i="9" s="1"/>
  <c r="AH214" i="13" s="1"/>
  <c r="AH207" i="13" s="1"/>
  <c r="AF33" i="9"/>
  <c r="AF35" i="9" s="1"/>
  <c r="AH109" i="13" s="1"/>
  <c r="AH102" i="13" s="1"/>
  <c r="AF47" i="9"/>
  <c r="AF49" i="9" s="1"/>
  <c r="AH320" i="13" s="1"/>
  <c r="AH313" i="13" s="1"/>
  <c r="AF48" i="9"/>
  <c r="AH270" i="13" s="1"/>
  <c r="AF41" i="9"/>
  <c r="AH164" i="13" s="1"/>
  <c r="AF296" i="13"/>
  <c r="AF301" i="13" s="1"/>
  <c r="AG192" i="13"/>
  <c r="AG185" i="13" s="1"/>
  <c r="AG186" i="13" s="1"/>
  <c r="AE264" i="13"/>
  <c r="AE268" i="13"/>
  <c r="AE273" i="13" s="1"/>
  <c r="AE53" i="13"/>
  <c r="AE57" i="13"/>
  <c r="AE62" i="13" s="1"/>
  <c r="AE158" i="13"/>
  <c r="AE162" i="13"/>
  <c r="AE167" i="13" s="1"/>
  <c r="AE34" i="9"/>
  <c r="AG67" i="13" s="1"/>
  <c r="AG69" i="13" s="1"/>
  <c r="AG60" i="13" s="1"/>
  <c r="AF157" i="13"/>
  <c r="AF263" i="13"/>
  <c r="AF59" i="13"/>
  <c r="AF52" i="13" s="1"/>
  <c r="AG318" i="13"/>
  <c r="AG323" i="13" s="1"/>
  <c r="AG314" i="13"/>
  <c r="AG212" i="13"/>
  <c r="AG217" i="13" s="1"/>
  <c r="AG208" i="13"/>
  <c r="AG103" i="13"/>
  <c r="AG107" i="13"/>
  <c r="AG112" i="13" s="1"/>
  <c r="AI7" i="13"/>
  <c r="AF26" i="9"/>
  <c r="AG25" i="9"/>
  <c r="AH200" i="13" l="1"/>
  <c r="AH202" i="13" s="1"/>
  <c r="AH193" i="13" s="1"/>
  <c r="AH150" i="13"/>
  <c r="AH152" i="13" s="1"/>
  <c r="AH143" i="13" s="1"/>
  <c r="AH255" i="13"/>
  <c r="AH257" i="13" s="1"/>
  <c r="AH248" i="13" s="1"/>
  <c r="AH306" i="13"/>
  <c r="AH308" i="13" s="1"/>
  <c r="AH299" i="13" s="1"/>
  <c r="AH278" i="13"/>
  <c r="AH280" i="13" s="1"/>
  <c r="AH271" i="13" s="1"/>
  <c r="AH172" i="13"/>
  <c r="AH174" i="13" s="1"/>
  <c r="AH165" i="13" s="1"/>
  <c r="AH328" i="13"/>
  <c r="AH330" i="13" s="1"/>
  <c r="AH321" i="13" s="1"/>
  <c r="AH222" i="13"/>
  <c r="AH224" i="13" s="1"/>
  <c r="AH215" i="13" s="1"/>
  <c r="AH44" i="13"/>
  <c r="AH46" i="13" s="1"/>
  <c r="AH37" i="13" s="1"/>
  <c r="AH95" i="13"/>
  <c r="AH97" i="13" s="1"/>
  <c r="AH88" i="13" s="1"/>
  <c r="AH117" i="13"/>
  <c r="AH119" i="13" s="1"/>
  <c r="AH110" i="13" s="1"/>
  <c r="AI329" i="13"/>
  <c r="AI279" i="13"/>
  <c r="AI307" i="13"/>
  <c r="AI256" i="13"/>
  <c r="AI223" i="13"/>
  <c r="AI173" i="13"/>
  <c r="AI151" i="13"/>
  <c r="AI201" i="13"/>
  <c r="AI118" i="13"/>
  <c r="AI96" i="13"/>
  <c r="AI45" i="13"/>
  <c r="AI68" i="13"/>
  <c r="AG30" i="13"/>
  <c r="AG85" i="13"/>
  <c r="AG90" i="13" s="1"/>
  <c r="AG190" i="13"/>
  <c r="AG195" i="13" s="1"/>
  <c r="AG136" i="13"/>
  <c r="AH36" i="13"/>
  <c r="AH29" i="13" s="1"/>
  <c r="AH34" i="13" s="1"/>
  <c r="AH39" i="13" s="1"/>
  <c r="AG296" i="13"/>
  <c r="AG301" i="13" s="1"/>
  <c r="AF9" i="17"/>
  <c r="AE28" i="17"/>
  <c r="AE16" i="17"/>
  <c r="AE22" i="17"/>
  <c r="AH142" i="13"/>
  <c r="AH135" i="13" s="1"/>
  <c r="AH136" i="13" s="1"/>
  <c r="AH87" i="13"/>
  <c r="AH80" i="13" s="1"/>
  <c r="AH85" i="13" s="1"/>
  <c r="AH90" i="13" s="1"/>
  <c r="AH192" i="13"/>
  <c r="AH185" i="13" s="1"/>
  <c r="AH186" i="13" s="1"/>
  <c r="AH298" i="13"/>
  <c r="AH291" i="13" s="1"/>
  <c r="AH292" i="13" s="1"/>
  <c r="AG245" i="13"/>
  <c r="AG250" i="13" s="1"/>
  <c r="AH247" i="13"/>
  <c r="AH240" i="13" s="1"/>
  <c r="AH241" i="13" s="1"/>
  <c r="AH23" i="9"/>
  <c r="AG40" i="9"/>
  <c r="AG42" i="9" s="1"/>
  <c r="AI214" i="13" s="1"/>
  <c r="AI207" i="13" s="1"/>
  <c r="AG33" i="9"/>
  <c r="AG35" i="9" s="1"/>
  <c r="AI109" i="13" s="1"/>
  <c r="AI102" i="13" s="1"/>
  <c r="AG47" i="9"/>
  <c r="AG49" i="9" s="1"/>
  <c r="AI320" i="13" s="1"/>
  <c r="AI313" i="13" s="1"/>
  <c r="AG48" i="9"/>
  <c r="AI270" i="13" s="1"/>
  <c r="AG41" i="9"/>
  <c r="AI164" i="13" s="1"/>
  <c r="AF53" i="13"/>
  <c r="AF264" i="13"/>
  <c r="AF162" i="13"/>
  <c r="AF167" i="13" s="1"/>
  <c r="AF158" i="13"/>
  <c r="AF34" i="9"/>
  <c r="AH67" i="13" s="1"/>
  <c r="AH69" i="13" s="1"/>
  <c r="AH60" i="13" s="1"/>
  <c r="AG157" i="13"/>
  <c r="AG59" i="13"/>
  <c r="AG52" i="13" s="1"/>
  <c r="AG263" i="13"/>
  <c r="AF57" i="13"/>
  <c r="AF62" i="13" s="1"/>
  <c r="AF268" i="13"/>
  <c r="AF273" i="13" s="1"/>
  <c r="AH318" i="13"/>
  <c r="AH323" i="13" s="1"/>
  <c r="AH314" i="13"/>
  <c r="AH208" i="13"/>
  <c r="AH212" i="13"/>
  <c r="AH217" i="13" s="1"/>
  <c r="AH103" i="13"/>
  <c r="AH107" i="13"/>
  <c r="AH112" i="13" s="1"/>
  <c r="AJ7" i="13"/>
  <c r="AG26" i="9"/>
  <c r="AH25" i="9"/>
  <c r="AI200" i="13" l="1"/>
  <c r="AI202" i="13" s="1"/>
  <c r="AI193" i="13" s="1"/>
  <c r="AI150" i="13"/>
  <c r="AI152" i="13" s="1"/>
  <c r="AI143" i="13" s="1"/>
  <c r="AI222" i="13"/>
  <c r="AI224" i="13" s="1"/>
  <c r="AI215" i="13" s="1"/>
  <c r="AI255" i="13"/>
  <c r="AI257" i="13" s="1"/>
  <c r="AI248" i="13" s="1"/>
  <c r="AI306" i="13"/>
  <c r="AI308" i="13" s="1"/>
  <c r="AI299" i="13" s="1"/>
  <c r="AI328" i="13"/>
  <c r="AI330" i="13" s="1"/>
  <c r="AI321" i="13" s="1"/>
  <c r="AI278" i="13"/>
  <c r="AI280" i="13" s="1"/>
  <c r="AI271" i="13" s="1"/>
  <c r="AI172" i="13"/>
  <c r="AI174" i="13" s="1"/>
  <c r="AI165" i="13" s="1"/>
  <c r="AI117" i="13"/>
  <c r="AI119" i="13" s="1"/>
  <c r="AI110" i="13" s="1"/>
  <c r="AI95" i="13"/>
  <c r="AI97" i="13" s="1"/>
  <c r="AI88" i="13" s="1"/>
  <c r="AI44" i="13"/>
  <c r="AI46" i="13" s="1"/>
  <c r="AI37" i="13" s="1"/>
  <c r="AJ329" i="13"/>
  <c r="AJ279" i="13"/>
  <c r="AJ307" i="13"/>
  <c r="AJ256" i="13"/>
  <c r="AJ223" i="13"/>
  <c r="AJ173" i="13"/>
  <c r="AJ151" i="13"/>
  <c r="AJ201" i="13"/>
  <c r="AJ96" i="13"/>
  <c r="AJ118" i="13"/>
  <c r="AJ45" i="13"/>
  <c r="AJ68" i="13"/>
  <c r="AH245" i="13"/>
  <c r="AH250" i="13" s="1"/>
  <c r="AH30" i="13"/>
  <c r="AH296" i="13"/>
  <c r="AH301" i="13" s="1"/>
  <c r="AH140" i="13"/>
  <c r="AH145" i="13" s="1"/>
  <c r="AG9" i="17"/>
  <c r="AF22" i="17"/>
  <c r="AF28" i="17"/>
  <c r="AF16" i="17"/>
  <c r="AH190" i="13"/>
  <c r="AH195" i="13" s="1"/>
  <c r="AH81" i="13"/>
  <c r="AI142" i="13"/>
  <c r="AI135" i="13" s="1"/>
  <c r="AI140" i="13" s="1"/>
  <c r="AI145" i="13" s="1"/>
  <c r="AI192" i="13"/>
  <c r="AI185" i="13" s="1"/>
  <c r="AI190" i="13" s="1"/>
  <c r="AI195" i="13" s="1"/>
  <c r="AI87" i="13"/>
  <c r="AI80" i="13" s="1"/>
  <c r="AI85" i="13" s="1"/>
  <c r="AI90" i="13" s="1"/>
  <c r="AI36" i="13"/>
  <c r="AI29" i="13" s="1"/>
  <c r="AI34" i="13" s="1"/>
  <c r="AI39" i="13" s="1"/>
  <c r="AI247" i="13"/>
  <c r="AI240" i="13" s="1"/>
  <c r="AI245" i="13" s="1"/>
  <c r="AI250" i="13" s="1"/>
  <c r="AI298" i="13"/>
  <c r="AI291" i="13" s="1"/>
  <c r="AI292" i="13" s="1"/>
  <c r="AI23" i="9"/>
  <c r="AH33" i="9"/>
  <c r="AH35" i="9" s="1"/>
  <c r="AJ109" i="13" s="1"/>
  <c r="AJ102" i="13" s="1"/>
  <c r="AH47" i="9"/>
  <c r="AH49" i="9" s="1"/>
  <c r="AJ320" i="13" s="1"/>
  <c r="AJ313" i="13" s="1"/>
  <c r="AH40" i="9"/>
  <c r="AH42" i="9" s="1"/>
  <c r="AJ214" i="13" s="1"/>
  <c r="AJ207" i="13" s="1"/>
  <c r="AH48" i="9"/>
  <c r="AJ270" i="13" s="1"/>
  <c r="AH41" i="9"/>
  <c r="AJ164" i="13" s="1"/>
  <c r="AG268" i="13"/>
  <c r="AG273" i="13" s="1"/>
  <c r="AG264" i="13"/>
  <c r="AG53" i="13"/>
  <c r="AG57" i="13"/>
  <c r="AG62" i="13" s="1"/>
  <c r="AG158" i="13"/>
  <c r="AG162" i="13"/>
  <c r="AG167" i="13" s="1"/>
  <c r="AG34" i="9"/>
  <c r="AI67" i="13" s="1"/>
  <c r="AI69" i="13" s="1"/>
  <c r="AI60" i="13" s="1"/>
  <c r="AH59" i="13"/>
  <c r="AH52" i="13" s="1"/>
  <c r="AH57" i="13" s="1"/>
  <c r="AH157" i="13"/>
  <c r="AH263" i="13"/>
  <c r="AI318" i="13"/>
  <c r="AI323" i="13" s="1"/>
  <c r="AI314" i="13"/>
  <c r="AI208" i="13"/>
  <c r="AI212" i="13"/>
  <c r="AI217" i="13" s="1"/>
  <c r="AI107" i="13"/>
  <c r="AI112" i="13" s="1"/>
  <c r="AI103" i="13"/>
  <c r="AK7" i="13"/>
  <c r="AI25" i="9"/>
  <c r="AJ25" i="9" s="1"/>
  <c r="AH26" i="9"/>
  <c r="AJ172" i="13" l="1"/>
  <c r="AJ174" i="13" s="1"/>
  <c r="AJ165" i="13" s="1"/>
  <c r="AJ306" i="13"/>
  <c r="AJ308" i="13" s="1"/>
  <c r="AJ299" i="13" s="1"/>
  <c r="AJ150" i="13"/>
  <c r="AJ152" i="13" s="1"/>
  <c r="AJ143" i="13" s="1"/>
  <c r="AJ200" i="13"/>
  <c r="AJ202" i="13" s="1"/>
  <c r="AJ193" i="13" s="1"/>
  <c r="AJ222" i="13"/>
  <c r="AJ224" i="13" s="1"/>
  <c r="AJ215" i="13" s="1"/>
  <c r="AJ328" i="13"/>
  <c r="AJ330" i="13" s="1"/>
  <c r="AJ321" i="13" s="1"/>
  <c r="AJ255" i="13"/>
  <c r="AJ257" i="13" s="1"/>
  <c r="AJ248" i="13" s="1"/>
  <c r="AJ278" i="13"/>
  <c r="AJ280" i="13" s="1"/>
  <c r="AJ271" i="13" s="1"/>
  <c r="AJ117" i="13"/>
  <c r="AJ119" i="13" s="1"/>
  <c r="AJ110" i="13" s="1"/>
  <c r="AJ95" i="13"/>
  <c r="AJ97" i="13" s="1"/>
  <c r="AJ88" i="13" s="1"/>
  <c r="AJ44" i="13"/>
  <c r="AJ46" i="13" s="1"/>
  <c r="AJ37" i="13" s="1"/>
  <c r="AK329" i="13"/>
  <c r="AK279" i="13"/>
  <c r="AK256" i="13"/>
  <c r="AK307" i="13"/>
  <c r="AK223" i="13"/>
  <c r="AK173" i="13"/>
  <c r="AK201" i="13"/>
  <c r="AK151" i="13"/>
  <c r="AK118" i="13"/>
  <c r="AK96" i="13"/>
  <c r="AK45" i="13"/>
  <c r="AK68" i="13"/>
  <c r="AI136" i="13"/>
  <c r="AI241" i="13"/>
  <c r="AI186" i="13"/>
  <c r="AJ36" i="13"/>
  <c r="AJ29" i="13" s="1"/>
  <c r="AJ30" i="13" s="1"/>
  <c r="AI30" i="13"/>
  <c r="AJ298" i="13"/>
  <c r="AJ291" i="13" s="1"/>
  <c r="AJ296" i="13" s="1"/>
  <c r="AJ301" i="13" s="1"/>
  <c r="AJ247" i="13"/>
  <c r="AJ240" i="13" s="1"/>
  <c r="AJ241" i="13" s="1"/>
  <c r="AJ142" i="13"/>
  <c r="AJ135" i="13" s="1"/>
  <c r="AJ136" i="13" s="1"/>
  <c r="AH9" i="17"/>
  <c r="AG28" i="17"/>
  <c r="AG22" i="17"/>
  <c r="AG16" i="17"/>
  <c r="AJ87" i="13"/>
  <c r="AJ80" i="13" s="1"/>
  <c r="AJ85" i="13" s="1"/>
  <c r="AJ90" i="13" s="1"/>
  <c r="AJ192" i="13"/>
  <c r="AJ185" i="13" s="1"/>
  <c r="AJ190" i="13" s="1"/>
  <c r="AJ195" i="13" s="1"/>
  <c r="AI296" i="13"/>
  <c r="AI301" i="13" s="1"/>
  <c r="AI81" i="13"/>
  <c r="AJ23" i="9"/>
  <c r="AI47" i="9"/>
  <c r="AI49" i="9" s="1"/>
  <c r="AK320" i="13" s="1"/>
  <c r="AI33" i="9"/>
  <c r="AI35" i="9" s="1"/>
  <c r="AK109" i="13" s="1"/>
  <c r="AI40" i="9"/>
  <c r="AI42" i="9" s="1"/>
  <c r="AK214" i="13" s="1"/>
  <c r="AI48" i="9"/>
  <c r="AK270" i="13" s="1"/>
  <c r="AI41" i="9"/>
  <c r="AK164" i="13" s="1"/>
  <c r="AH264" i="13"/>
  <c r="AH268" i="13"/>
  <c r="AH273" i="13" s="1"/>
  <c r="AH162" i="13"/>
  <c r="AH167" i="13" s="1"/>
  <c r="AH158" i="13"/>
  <c r="AH62" i="13"/>
  <c r="AH53" i="13"/>
  <c r="AH34" i="9"/>
  <c r="AJ67" i="13" s="1"/>
  <c r="AJ69" i="13" s="1"/>
  <c r="AJ60" i="13" s="1"/>
  <c r="AI263" i="13"/>
  <c r="AI59" i="13"/>
  <c r="AI52" i="13" s="1"/>
  <c r="AI157" i="13"/>
  <c r="AJ208" i="13"/>
  <c r="AJ212" i="13"/>
  <c r="AJ217" i="13" s="1"/>
  <c r="AJ314" i="13"/>
  <c r="AJ318" i="13"/>
  <c r="AJ323" i="13" s="1"/>
  <c r="AJ103" i="13"/>
  <c r="AJ107" i="13"/>
  <c r="AJ112" i="13" s="1"/>
  <c r="AL7" i="13"/>
  <c r="AJ26" i="9"/>
  <c r="AK25" i="9"/>
  <c r="AI26" i="9"/>
  <c r="AK172" i="13" l="1"/>
  <c r="AK174" i="13" s="1"/>
  <c r="AK165" i="13" s="1"/>
  <c r="AK150" i="13"/>
  <c r="AK152" i="13" s="1"/>
  <c r="AK143" i="13" s="1"/>
  <c r="AK222" i="13"/>
  <c r="AK224" i="13" s="1"/>
  <c r="AK215" i="13" s="1"/>
  <c r="AK306" i="13"/>
  <c r="AK308" i="13" s="1"/>
  <c r="AK299" i="13" s="1"/>
  <c r="AK200" i="13"/>
  <c r="AK202" i="13" s="1"/>
  <c r="AK193" i="13" s="1"/>
  <c r="AK255" i="13"/>
  <c r="AK257" i="13" s="1"/>
  <c r="AK248" i="13" s="1"/>
  <c r="AK278" i="13"/>
  <c r="AK280" i="13" s="1"/>
  <c r="AK271" i="13" s="1"/>
  <c r="AK328" i="13"/>
  <c r="AK330" i="13" s="1"/>
  <c r="AK321" i="13" s="1"/>
  <c r="AK44" i="13"/>
  <c r="AK46" i="13" s="1"/>
  <c r="AK37" i="13" s="1"/>
  <c r="AK95" i="13"/>
  <c r="AK97" i="13" s="1"/>
  <c r="AK88" i="13" s="1"/>
  <c r="AK117" i="13"/>
  <c r="AK119" i="13" s="1"/>
  <c r="AK110" i="13" s="1"/>
  <c r="AL329" i="13"/>
  <c r="AL279" i="13"/>
  <c r="AL256" i="13"/>
  <c r="AL307" i="13"/>
  <c r="AL223" i="13"/>
  <c r="AL173" i="13"/>
  <c r="AL201" i="13"/>
  <c r="AL151" i="13"/>
  <c r="AL118" i="13"/>
  <c r="AL96" i="13"/>
  <c r="AL45" i="13"/>
  <c r="AL68" i="13"/>
  <c r="AJ245" i="13"/>
  <c r="AJ250" i="13" s="1"/>
  <c r="AJ34" i="13"/>
  <c r="AJ39" i="13" s="1"/>
  <c r="AJ140" i="13"/>
  <c r="AJ145" i="13" s="1"/>
  <c r="AJ292" i="13"/>
  <c r="AJ81" i="13"/>
  <c r="AJ186" i="13"/>
  <c r="AI9" i="17"/>
  <c r="AH22" i="17"/>
  <c r="AH28" i="17"/>
  <c r="AH16" i="17"/>
  <c r="AK23" i="9"/>
  <c r="AJ47" i="9"/>
  <c r="AJ49" i="9" s="1"/>
  <c r="AL320" i="13" s="1"/>
  <c r="AL313" i="13" s="1"/>
  <c r="AJ33" i="9"/>
  <c r="AJ35" i="9" s="1"/>
  <c r="AL109" i="13" s="1"/>
  <c r="AL102" i="13" s="1"/>
  <c r="AJ40" i="9"/>
  <c r="AJ42" i="9" s="1"/>
  <c r="AL214" i="13" s="1"/>
  <c r="AL207" i="13" s="1"/>
  <c r="AJ48" i="9"/>
  <c r="AL270" i="13" s="1"/>
  <c r="AJ41" i="9"/>
  <c r="AL164" i="13" s="1"/>
  <c r="AK87" i="13"/>
  <c r="AK80" i="13" s="1"/>
  <c r="AK247" i="13"/>
  <c r="AK240" i="13" s="1"/>
  <c r="AK36" i="13"/>
  <c r="AK29" i="13" s="1"/>
  <c r="AK34" i="13" s="1"/>
  <c r="AK142" i="13"/>
  <c r="AK135" i="13" s="1"/>
  <c r="AK298" i="13"/>
  <c r="AK291" i="13" s="1"/>
  <c r="AK192" i="13"/>
  <c r="AK185" i="13" s="1"/>
  <c r="AI53" i="13"/>
  <c r="AI57" i="13"/>
  <c r="AI62" i="13" s="1"/>
  <c r="AI162" i="13"/>
  <c r="AI167" i="13" s="1"/>
  <c r="AI158" i="13"/>
  <c r="AI34" i="9"/>
  <c r="AK67" i="13" s="1"/>
  <c r="AK69" i="13" s="1"/>
  <c r="AK60" i="13" s="1"/>
  <c r="AJ263" i="13"/>
  <c r="AJ59" i="13"/>
  <c r="AJ52" i="13" s="1"/>
  <c r="AJ157" i="13"/>
  <c r="AI268" i="13"/>
  <c r="AI273" i="13" s="1"/>
  <c r="AI264" i="13"/>
  <c r="AK207" i="13"/>
  <c r="H214" i="13"/>
  <c r="AK313" i="13"/>
  <c r="H320" i="13"/>
  <c r="AK102" i="13"/>
  <c r="H109" i="13"/>
  <c r="AM7" i="13"/>
  <c r="AK26" i="9"/>
  <c r="AL306" i="13" l="1"/>
  <c r="AL308" i="13" s="1"/>
  <c r="AL299" i="13" s="1"/>
  <c r="AL200" i="13"/>
  <c r="AL202" i="13" s="1"/>
  <c r="AL193" i="13" s="1"/>
  <c r="AL150" i="13"/>
  <c r="AL152" i="13" s="1"/>
  <c r="AL143" i="13" s="1"/>
  <c r="AL255" i="13"/>
  <c r="AL257" i="13" s="1"/>
  <c r="AL248" i="13" s="1"/>
  <c r="AL278" i="13"/>
  <c r="AL280" i="13" s="1"/>
  <c r="AL271" i="13" s="1"/>
  <c r="AL172" i="13"/>
  <c r="AL174" i="13" s="1"/>
  <c r="AL165" i="13" s="1"/>
  <c r="AL328" i="13"/>
  <c r="AL330" i="13" s="1"/>
  <c r="AL321" i="13" s="1"/>
  <c r="AL222" i="13"/>
  <c r="AL224" i="13" s="1"/>
  <c r="AL215" i="13" s="1"/>
  <c r="AL95" i="13"/>
  <c r="AL97" i="13" s="1"/>
  <c r="AL88" i="13" s="1"/>
  <c r="AL117" i="13"/>
  <c r="AL119" i="13" s="1"/>
  <c r="AL110" i="13" s="1"/>
  <c r="AL44" i="13"/>
  <c r="AL46" i="13" s="1"/>
  <c r="AL37" i="13" s="1"/>
  <c r="AM329" i="13"/>
  <c r="AM279" i="13"/>
  <c r="AM256" i="13"/>
  <c r="AM307" i="13"/>
  <c r="AM223" i="13"/>
  <c r="AM173" i="13"/>
  <c r="AM201" i="13"/>
  <c r="AM151" i="13"/>
  <c r="AM118" i="13"/>
  <c r="AM96" i="13"/>
  <c r="AM45" i="13"/>
  <c r="AM68" i="13"/>
  <c r="H247" i="13"/>
  <c r="H298" i="13"/>
  <c r="H285" i="13" s="1"/>
  <c r="AL87" i="13"/>
  <c r="AL80" i="13" s="1"/>
  <c r="AL81" i="13" s="1"/>
  <c r="AL36" i="13"/>
  <c r="AL29" i="13" s="1"/>
  <c r="AL34" i="13" s="1"/>
  <c r="AL39" i="13" s="1"/>
  <c r="AL247" i="13"/>
  <c r="AL240" i="13" s="1"/>
  <c r="AL241" i="13" s="1"/>
  <c r="AL298" i="13"/>
  <c r="AL291" i="13" s="1"/>
  <c r="AL292" i="13" s="1"/>
  <c r="AJ9" i="17"/>
  <c r="AI16" i="17"/>
  <c r="AI28" i="17"/>
  <c r="AI22" i="17"/>
  <c r="H36" i="13"/>
  <c r="H142" i="13"/>
  <c r="H87" i="13"/>
  <c r="H74" i="13" s="1"/>
  <c r="H192" i="13"/>
  <c r="H179" i="13" s="1"/>
  <c r="AL142" i="13"/>
  <c r="AL135" i="13" s="1"/>
  <c r="AL136" i="13" s="1"/>
  <c r="AL192" i="13"/>
  <c r="AL185" i="13" s="1"/>
  <c r="AL190" i="13" s="1"/>
  <c r="AL195" i="13" s="1"/>
  <c r="AK47" i="9"/>
  <c r="AK49" i="9" s="1"/>
  <c r="AM320" i="13" s="1"/>
  <c r="AM313" i="13" s="1"/>
  <c r="AK33" i="9"/>
  <c r="AK35" i="9" s="1"/>
  <c r="AM109" i="13" s="1"/>
  <c r="AM102" i="13" s="1"/>
  <c r="AK40" i="9"/>
  <c r="AK42" i="9" s="1"/>
  <c r="AM214" i="13" s="1"/>
  <c r="AM207" i="13" s="1"/>
  <c r="AK48" i="9"/>
  <c r="AM270" i="13" s="1"/>
  <c r="AK41" i="9"/>
  <c r="AM164" i="13" s="1"/>
  <c r="AJ158" i="13"/>
  <c r="AJ162" i="13"/>
  <c r="AJ167" i="13" s="1"/>
  <c r="AJ34" i="9"/>
  <c r="AL67" i="13" s="1"/>
  <c r="AL69" i="13" s="1"/>
  <c r="AL60" i="13" s="1"/>
  <c r="AK59" i="13"/>
  <c r="AK52" i="13" s="1"/>
  <c r="AK263" i="13"/>
  <c r="AK268" i="13" s="1"/>
  <c r="AJ264" i="13"/>
  <c r="AJ57" i="13"/>
  <c r="AJ62" i="13" s="1"/>
  <c r="AJ268" i="13"/>
  <c r="AJ273" i="13" s="1"/>
  <c r="AJ53" i="13"/>
  <c r="AK314" i="13"/>
  <c r="AK318" i="13"/>
  <c r="AK323" i="13" s="1"/>
  <c r="AL212" i="13"/>
  <c r="AL217" i="13" s="1"/>
  <c r="AL208" i="13"/>
  <c r="AK245" i="13"/>
  <c r="AK250" i="13" s="1"/>
  <c r="AK241" i="13"/>
  <c r="AK292" i="13"/>
  <c r="AK296" i="13"/>
  <c r="AK301" i="13" s="1"/>
  <c r="AL318" i="13"/>
  <c r="AL323" i="13" s="1"/>
  <c r="AL314" i="13"/>
  <c r="AK212" i="13"/>
  <c r="AK217" i="13" s="1"/>
  <c r="AK208" i="13"/>
  <c r="AK186" i="13"/>
  <c r="AK190" i="13"/>
  <c r="AK195" i="13" s="1"/>
  <c r="AK136" i="13"/>
  <c r="AK140" i="13"/>
  <c r="AK145" i="13" s="1"/>
  <c r="AL107" i="13"/>
  <c r="AL112" i="13" s="1"/>
  <c r="AL103" i="13"/>
  <c r="AK81" i="13"/>
  <c r="AK85" i="13"/>
  <c r="AK90" i="13" s="1"/>
  <c r="AK107" i="13"/>
  <c r="AK112" i="13" s="1"/>
  <c r="AK103" i="13"/>
  <c r="AK30" i="13"/>
  <c r="AK39" i="13"/>
  <c r="AM142" i="13" l="1"/>
  <c r="AM135" i="13" s="1"/>
  <c r="AM140" i="13" s="1"/>
  <c r="AM145" i="13" s="1"/>
  <c r="AM200" i="13"/>
  <c r="AM202" i="13" s="1"/>
  <c r="AM192" i="13"/>
  <c r="AM185" i="13" s="1"/>
  <c r="AM186" i="13" s="1"/>
  <c r="AM306" i="13"/>
  <c r="AM308" i="13" s="1"/>
  <c r="AM299" i="13" s="1"/>
  <c r="AM255" i="13"/>
  <c r="AM257" i="13" s="1"/>
  <c r="AM222" i="13"/>
  <c r="AM224" i="13" s="1"/>
  <c r="AM215" i="13" s="1"/>
  <c r="AM150" i="13"/>
  <c r="AM152" i="13" s="1"/>
  <c r="AM328" i="13"/>
  <c r="AM330" i="13" s="1"/>
  <c r="AM278" i="13"/>
  <c r="AM280" i="13" s="1"/>
  <c r="AM172" i="13"/>
  <c r="AM174" i="13" s="1"/>
  <c r="AM95" i="13"/>
  <c r="AM97" i="13" s="1"/>
  <c r="AM44" i="13"/>
  <c r="AM46" i="13" s="1"/>
  <c r="AM37" i="13" s="1"/>
  <c r="AM117" i="13"/>
  <c r="AM119" i="13" s="1"/>
  <c r="AL85" i="13"/>
  <c r="AL90" i="13" s="1"/>
  <c r="AL30" i="13"/>
  <c r="AL245" i="13"/>
  <c r="AL250" i="13" s="1"/>
  <c r="AL296" i="13"/>
  <c r="AL301" i="13" s="1"/>
  <c r="AJ28" i="17"/>
  <c r="AJ22" i="17"/>
  <c r="AJ16" i="17"/>
  <c r="AL186" i="13"/>
  <c r="AM298" i="13"/>
  <c r="AM291" i="13" s="1"/>
  <c r="AM296" i="13" s="1"/>
  <c r="AM301" i="13" s="1"/>
  <c r="AM87" i="13"/>
  <c r="AM80" i="13" s="1"/>
  <c r="AM85" i="13" s="1"/>
  <c r="AM90" i="13" s="1"/>
  <c r="AM247" i="13"/>
  <c r="AM240" i="13" s="1"/>
  <c r="AM241" i="13" s="1"/>
  <c r="AL140" i="13"/>
  <c r="AL145" i="13" s="1"/>
  <c r="AM36" i="13"/>
  <c r="AM29" i="13" s="1"/>
  <c r="AM30" i="13" s="1"/>
  <c r="H270" i="13"/>
  <c r="H234" i="13" s="1"/>
  <c r="AK264" i="13"/>
  <c r="AK273" i="13"/>
  <c r="H59" i="13"/>
  <c r="H23" i="13" s="1"/>
  <c r="AK57" i="13"/>
  <c r="AK62" i="13" s="1"/>
  <c r="AK53" i="13"/>
  <c r="AK157" i="13"/>
  <c r="H164" i="13"/>
  <c r="H129" i="13" s="1"/>
  <c r="AK34" i="9"/>
  <c r="AM67" i="13" s="1"/>
  <c r="AM69" i="13" s="1"/>
  <c r="H69" i="13" s="1"/>
  <c r="AL263" i="13"/>
  <c r="AL59" i="13"/>
  <c r="AL52" i="13" s="1"/>
  <c r="AL157" i="13"/>
  <c r="AM212" i="13"/>
  <c r="AM217" i="13" s="1"/>
  <c r="AM208" i="13"/>
  <c r="AM318" i="13"/>
  <c r="AM323" i="13" s="1"/>
  <c r="AM314" i="13"/>
  <c r="AM103" i="13"/>
  <c r="AM107" i="13"/>
  <c r="AM112" i="13" s="1"/>
  <c r="AM136" i="13" l="1"/>
  <c r="AG137" i="13" s="1"/>
  <c r="AG138" i="13" s="1"/>
  <c r="AM190" i="13"/>
  <c r="AM195" i="13" s="1"/>
  <c r="H224" i="13"/>
  <c r="H308" i="13"/>
  <c r="H330" i="13"/>
  <c r="AM321" i="13"/>
  <c r="AM60" i="13"/>
  <c r="H280" i="13"/>
  <c r="AM271" i="13"/>
  <c r="H257" i="13"/>
  <c r="AM248" i="13"/>
  <c r="H202" i="13"/>
  <c r="AM193" i="13"/>
  <c r="H174" i="13"/>
  <c r="AM165" i="13"/>
  <c r="H152" i="13"/>
  <c r="AM143" i="13"/>
  <c r="H119" i="13"/>
  <c r="AM110" i="13"/>
  <c r="H97" i="13"/>
  <c r="AM88" i="13"/>
  <c r="H46" i="13"/>
  <c r="AM292" i="13"/>
  <c r="AM293" i="13" s="1"/>
  <c r="AM294" i="13" s="1"/>
  <c r="AM81" i="13"/>
  <c r="AM82" i="13" s="1"/>
  <c r="AM83" i="13" s="1"/>
  <c r="AM34" i="13"/>
  <c r="AM39" i="13" s="1"/>
  <c r="AM245" i="13"/>
  <c r="AM250" i="13" s="1"/>
  <c r="AL187" i="13"/>
  <c r="AL188" i="13" s="1"/>
  <c r="AM187" i="13"/>
  <c r="AM188" i="13" s="1"/>
  <c r="AC187" i="13"/>
  <c r="AC188" i="13" s="1"/>
  <c r="AD187" i="13"/>
  <c r="AD188" i="13" s="1"/>
  <c r="AE187" i="13"/>
  <c r="AE188" i="13" s="1"/>
  <c r="AF187" i="13"/>
  <c r="AF188" i="13" s="1"/>
  <c r="AH187" i="13"/>
  <c r="AH188" i="13" s="1"/>
  <c r="AJ187" i="13"/>
  <c r="AJ188" i="13" s="1"/>
  <c r="AK187" i="13"/>
  <c r="AK188" i="13" s="1"/>
  <c r="AG187" i="13"/>
  <c r="AG188" i="13" s="1"/>
  <c r="AI187" i="13"/>
  <c r="AI188" i="13" s="1"/>
  <c r="AK31" i="13"/>
  <c r="AK32" i="13" s="1"/>
  <c r="AL31" i="13"/>
  <c r="AL32" i="13" s="1"/>
  <c r="AM31" i="13"/>
  <c r="AM32" i="13" s="1"/>
  <c r="AB31" i="13"/>
  <c r="AB32" i="13" s="1"/>
  <c r="AC31" i="13"/>
  <c r="AC32" i="13" s="1"/>
  <c r="AD31" i="13"/>
  <c r="AD32" i="13" s="1"/>
  <c r="AE31" i="13"/>
  <c r="AE32" i="13" s="1"/>
  <c r="AG31" i="13"/>
  <c r="AG32" i="13" s="1"/>
  <c r="AF31" i="13"/>
  <c r="AF32" i="13" s="1"/>
  <c r="AH31" i="13"/>
  <c r="AH32" i="13" s="1"/>
  <c r="AI31" i="13"/>
  <c r="AI32" i="13" s="1"/>
  <c r="AJ31" i="13"/>
  <c r="AJ32" i="13" s="1"/>
  <c r="AA104" i="13"/>
  <c r="AA105" i="13" s="1"/>
  <c r="AM104" i="13"/>
  <c r="AM105" i="13" s="1"/>
  <c r="AB104" i="13"/>
  <c r="AB105" i="13" s="1"/>
  <c r="AC104" i="13"/>
  <c r="AC105" i="13" s="1"/>
  <c r="AD104" i="13"/>
  <c r="AD105" i="13" s="1"/>
  <c r="AE104" i="13"/>
  <c r="AE105" i="13" s="1"/>
  <c r="AF104" i="13"/>
  <c r="AF105" i="13" s="1"/>
  <c r="AG104" i="13"/>
  <c r="AG105" i="13" s="1"/>
  <c r="AI104" i="13"/>
  <c r="AI105" i="13" s="1"/>
  <c r="AK104" i="13"/>
  <c r="AK105" i="13" s="1"/>
  <c r="Z104" i="13"/>
  <c r="Z105" i="13" s="1"/>
  <c r="AL104" i="13"/>
  <c r="AL105" i="13" s="1"/>
  <c r="AH104" i="13"/>
  <c r="AH105" i="13" s="1"/>
  <c r="AJ104" i="13"/>
  <c r="AJ105" i="13" s="1"/>
  <c r="AD137" i="13"/>
  <c r="AD138" i="13" s="1"/>
  <c r="AE137" i="13"/>
  <c r="AE138" i="13" s="1"/>
  <c r="AF137" i="13"/>
  <c r="AF138" i="13" s="1"/>
  <c r="AC137" i="13"/>
  <c r="AC138" i="13" s="1"/>
  <c r="AK137" i="13"/>
  <c r="AK138" i="13" s="1"/>
  <c r="AM137" i="13"/>
  <c r="AM138" i="13" s="1"/>
  <c r="AM315" i="13"/>
  <c r="AM316" i="13" s="1"/>
  <c r="AJ315" i="13"/>
  <c r="AJ316" i="13" s="1"/>
  <c r="AL315" i="13"/>
  <c r="AL316" i="13" s="1"/>
  <c r="AK315" i="13"/>
  <c r="AK316" i="13" s="1"/>
  <c r="AI315" i="13"/>
  <c r="AI316" i="13" s="1"/>
  <c r="AK242" i="13"/>
  <c r="AK243" i="13" s="1"/>
  <c r="AJ242" i="13"/>
  <c r="AJ243" i="13" s="1"/>
  <c r="AI242" i="13"/>
  <c r="AI243" i="13" s="1"/>
  <c r="AM242" i="13"/>
  <c r="AM243" i="13" s="1"/>
  <c r="AL242" i="13"/>
  <c r="AL243" i="13" s="1"/>
  <c r="AA209" i="13"/>
  <c r="AA210" i="13" s="1"/>
  <c r="AM209" i="13"/>
  <c r="AM210" i="13" s="1"/>
  <c r="AB209" i="13"/>
  <c r="AB210" i="13" s="1"/>
  <c r="AC209" i="13"/>
  <c r="AC210" i="13" s="1"/>
  <c r="AD209" i="13"/>
  <c r="AD210" i="13" s="1"/>
  <c r="AE209" i="13"/>
  <c r="AE210" i="13" s="1"/>
  <c r="AF209" i="13"/>
  <c r="AF210" i="13" s="1"/>
  <c r="AG209" i="13"/>
  <c r="AG210" i="13" s="1"/>
  <c r="AI209" i="13"/>
  <c r="AI210" i="13" s="1"/>
  <c r="Z209" i="13"/>
  <c r="Z210" i="13" s="1"/>
  <c r="AH209" i="13"/>
  <c r="AH210" i="13" s="1"/>
  <c r="AJ209" i="13"/>
  <c r="AJ210" i="13" s="1"/>
  <c r="Y209" i="13"/>
  <c r="Y210" i="13" s="1"/>
  <c r="AK209" i="13"/>
  <c r="AK210" i="13" s="1"/>
  <c r="AL209" i="13"/>
  <c r="AL210" i="13" s="1"/>
  <c r="AL57" i="13"/>
  <c r="AL62" i="13" s="1"/>
  <c r="AL53" i="13"/>
  <c r="AL268" i="13"/>
  <c r="AL273" i="13" s="1"/>
  <c r="AM263" i="13"/>
  <c r="AM59" i="13"/>
  <c r="AM52" i="13" s="1"/>
  <c r="AM157" i="13"/>
  <c r="AK158" i="13"/>
  <c r="AL162" i="13"/>
  <c r="AL167" i="13" s="1"/>
  <c r="AK162" i="13"/>
  <c r="AK167" i="13" s="1"/>
  <c r="AL158" i="13"/>
  <c r="AL264" i="13"/>
  <c r="AJ137" i="13" l="1"/>
  <c r="AJ138" i="13" s="1"/>
  <c r="AI137" i="13"/>
  <c r="AI138" i="13" s="1"/>
  <c r="AL137" i="13"/>
  <c r="AL138" i="13" s="1"/>
  <c r="AH137" i="13"/>
  <c r="AH138" i="13" s="1"/>
  <c r="AB137" i="13"/>
  <c r="AB138" i="13" s="1"/>
  <c r="AA31" i="13"/>
  <c r="AA137" i="13"/>
  <c r="Y104" i="13"/>
  <c r="AB187" i="13"/>
  <c r="X209" i="13"/>
  <c r="AH315" i="13"/>
  <c r="AH242" i="13"/>
  <c r="H110" i="13"/>
  <c r="AL293" i="13"/>
  <c r="AL294" i="13" s="1"/>
  <c r="AH82" i="13"/>
  <c r="AH83" i="13" s="1"/>
  <c r="AF82" i="13"/>
  <c r="AF83" i="13" s="1"/>
  <c r="AD82" i="13"/>
  <c r="AD83" i="13" s="1"/>
  <c r="AL82" i="13"/>
  <c r="AL83" i="13" s="1"/>
  <c r="AE82" i="13"/>
  <c r="AE83" i="13" s="1"/>
  <c r="AK82" i="13"/>
  <c r="AK83" i="13" s="1"/>
  <c r="AC82" i="13"/>
  <c r="AC83" i="13" s="1"/>
  <c r="AI82" i="13"/>
  <c r="AI83" i="13" s="1"/>
  <c r="AG82" i="13"/>
  <c r="AG83" i="13" s="1"/>
  <c r="AJ82" i="13"/>
  <c r="AJ83" i="13" s="1"/>
  <c r="AM158" i="13"/>
  <c r="AM162" i="13"/>
  <c r="AM167" i="13" s="1"/>
  <c r="AM57" i="13"/>
  <c r="AM62" i="13" s="1"/>
  <c r="AM53" i="13"/>
  <c r="AM264" i="13"/>
  <c r="AM268" i="13"/>
  <c r="AM273" i="13" s="1"/>
  <c r="AH243" i="13" l="1"/>
  <c r="AG242" i="13"/>
  <c r="AH316" i="13"/>
  <c r="AG315" i="13"/>
  <c r="X210" i="13"/>
  <c r="W209" i="13"/>
  <c r="AK293" i="13"/>
  <c r="AB188" i="13"/>
  <c r="AA187" i="13"/>
  <c r="Y105" i="13"/>
  <c r="X104" i="13"/>
  <c r="AA138" i="13"/>
  <c r="Z137" i="13"/>
  <c r="AB82" i="13"/>
  <c r="AA32" i="13"/>
  <c r="Z31" i="13"/>
  <c r="U159" i="13"/>
  <c r="U160" i="13" s="1"/>
  <c r="AG159" i="13"/>
  <c r="AG160" i="13" s="1"/>
  <c r="W159" i="13"/>
  <c r="W160" i="13" s="1"/>
  <c r="X159" i="13"/>
  <c r="X160" i="13" s="1"/>
  <c r="V159" i="13"/>
  <c r="V160" i="13" s="1"/>
  <c r="AH159" i="13"/>
  <c r="AH160" i="13" s="1"/>
  <c r="K159" i="13"/>
  <c r="K160" i="13" s="1"/>
  <c r="AI159" i="13"/>
  <c r="AI160" i="13" s="1"/>
  <c r="L159" i="13"/>
  <c r="L160" i="13" s="1"/>
  <c r="AJ159" i="13"/>
  <c r="AJ160" i="13" s="1"/>
  <c r="M159" i="13"/>
  <c r="M160" i="13" s="1"/>
  <c r="Y159" i="13"/>
  <c r="Y160" i="13" s="1"/>
  <c r="AK159" i="13"/>
  <c r="AK160" i="13" s="1"/>
  <c r="N159" i="13"/>
  <c r="N160" i="13" s="1"/>
  <c r="Z159" i="13"/>
  <c r="Z160" i="13" s="1"/>
  <c r="AL159" i="13"/>
  <c r="AL160" i="13" s="1"/>
  <c r="O159" i="13"/>
  <c r="O160" i="13" s="1"/>
  <c r="AA159" i="13"/>
  <c r="AA160" i="13" s="1"/>
  <c r="AM159" i="13"/>
  <c r="AM160" i="13" s="1"/>
  <c r="Q159" i="13"/>
  <c r="Q160" i="13" s="1"/>
  <c r="AC159" i="13"/>
  <c r="AC160" i="13" s="1"/>
  <c r="T159" i="13"/>
  <c r="T160" i="13" s="1"/>
  <c r="P159" i="13"/>
  <c r="P160" i="13" s="1"/>
  <c r="AB159" i="13"/>
  <c r="AB160" i="13" s="1"/>
  <c r="J159" i="13"/>
  <c r="J160" i="13" s="1"/>
  <c r="J161" i="13" s="1"/>
  <c r="J166" i="13" s="1" a="1"/>
  <c r="J166" i="13" s="1"/>
  <c r="J168" i="13" s="1"/>
  <c r="R159" i="13"/>
  <c r="R160" i="13" s="1"/>
  <c r="AD159" i="13"/>
  <c r="AD160" i="13" s="1"/>
  <c r="S159" i="13"/>
  <c r="S160" i="13" s="1"/>
  <c r="AE159" i="13"/>
  <c r="AE160" i="13" s="1"/>
  <c r="AF159" i="13"/>
  <c r="AF160" i="13" s="1"/>
  <c r="AE265" i="13"/>
  <c r="AE266" i="13" s="1"/>
  <c r="S265" i="13"/>
  <c r="S266" i="13" s="1"/>
  <c r="AD265" i="13"/>
  <c r="AD266" i="13" s="1"/>
  <c r="R265" i="13"/>
  <c r="R266" i="13" s="1"/>
  <c r="AC265" i="13"/>
  <c r="AC266" i="13" s="1"/>
  <c r="Q265" i="13"/>
  <c r="Q266" i="13" s="1"/>
  <c r="AB265" i="13"/>
  <c r="AB266" i="13" s="1"/>
  <c r="P265" i="13"/>
  <c r="P266" i="13" s="1"/>
  <c r="AM265" i="13"/>
  <c r="AM266" i="13" s="1"/>
  <c r="AA265" i="13"/>
  <c r="AA266" i="13" s="1"/>
  <c r="O265" i="13"/>
  <c r="O266" i="13" s="1"/>
  <c r="AL265" i="13"/>
  <c r="AL266" i="13" s="1"/>
  <c r="Z265" i="13"/>
  <c r="Z266" i="13" s="1"/>
  <c r="N265" i="13"/>
  <c r="N266" i="13" s="1"/>
  <c r="AK265" i="13"/>
  <c r="AK266" i="13" s="1"/>
  <c r="Y265" i="13"/>
  <c r="Y266" i="13" s="1"/>
  <c r="M265" i="13"/>
  <c r="M266" i="13" s="1"/>
  <c r="AI265" i="13"/>
  <c r="AI266" i="13" s="1"/>
  <c r="W265" i="13"/>
  <c r="W266" i="13" s="1"/>
  <c r="K265" i="13"/>
  <c r="K266" i="13" s="1"/>
  <c r="AF265" i="13"/>
  <c r="AF266" i="13" s="1"/>
  <c r="T265" i="13"/>
  <c r="T266" i="13" s="1"/>
  <c r="AJ265" i="13"/>
  <c r="AJ266" i="13" s="1"/>
  <c r="X265" i="13"/>
  <c r="X266" i="13" s="1"/>
  <c r="L265" i="13"/>
  <c r="L266" i="13" s="1"/>
  <c r="AH265" i="13"/>
  <c r="AH266" i="13" s="1"/>
  <c r="V265" i="13"/>
  <c r="V266" i="13" s="1"/>
  <c r="J265" i="13"/>
  <c r="J266" i="13" s="1"/>
  <c r="J267" i="13" s="1"/>
  <c r="AG265" i="13"/>
  <c r="AG266" i="13" s="1"/>
  <c r="U265" i="13"/>
  <c r="U266" i="13" s="1"/>
  <c r="T54" i="13"/>
  <c r="T55" i="13" s="1"/>
  <c r="AF54" i="13"/>
  <c r="AF55" i="13" s="1"/>
  <c r="V54" i="13"/>
  <c r="V55" i="13" s="1"/>
  <c r="K54" i="13"/>
  <c r="K55" i="13" s="1"/>
  <c r="AI54" i="13"/>
  <c r="AI55" i="13" s="1"/>
  <c r="U54" i="13"/>
  <c r="U55" i="13" s="1"/>
  <c r="AG54" i="13"/>
  <c r="AG55" i="13" s="1"/>
  <c r="AH54" i="13"/>
  <c r="AH55" i="13" s="1"/>
  <c r="W54" i="13"/>
  <c r="W55" i="13" s="1"/>
  <c r="L54" i="13"/>
  <c r="L55" i="13" s="1"/>
  <c r="X54" i="13"/>
  <c r="X55" i="13" s="1"/>
  <c r="AJ54" i="13"/>
  <c r="AJ55" i="13" s="1"/>
  <c r="M54" i="13"/>
  <c r="M55" i="13" s="1"/>
  <c r="Y54" i="13"/>
  <c r="Y55" i="13" s="1"/>
  <c r="AK54" i="13"/>
  <c r="AK55" i="13" s="1"/>
  <c r="N54" i="13"/>
  <c r="N55" i="13" s="1"/>
  <c r="Z54" i="13"/>
  <c r="Z55" i="13" s="1"/>
  <c r="AL54" i="13"/>
  <c r="AL55" i="13" s="1"/>
  <c r="P54" i="13"/>
  <c r="P55" i="13" s="1"/>
  <c r="AB54" i="13"/>
  <c r="AB55" i="13" s="1"/>
  <c r="J54" i="13"/>
  <c r="J55" i="13" s="1"/>
  <c r="J56" i="13" s="1"/>
  <c r="R54" i="13"/>
  <c r="R55" i="13" s="1"/>
  <c r="O54" i="13"/>
  <c r="O55" i="13" s="1"/>
  <c r="AA54" i="13"/>
  <c r="AA55" i="13" s="1"/>
  <c r="AM54" i="13"/>
  <c r="AM55" i="13" s="1"/>
  <c r="Q54" i="13"/>
  <c r="Q55" i="13" s="1"/>
  <c r="AC54" i="13"/>
  <c r="AC55" i="13" s="1"/>
  <c r="AD54" i="13"/>
  <c r="AD55" i="13" s="1"/>
  <c r="S54" i="13"/>
  <c r="S55" i="13" s="1"/>
  <c r="AE54" i="13"/>
  <c r="AE55" i="13" s="1"/>
  <c r="AA188" i="13" l="1"/>
  <c r="Z187" i="13"/>
  <c r="AK294" i="13"/>
  <c r="AJ293" i="13"/>
  <c r="W210" i="13"/>
  <c r="V209" i="13"/>
  <c r="X105" i="13"/>
  <c r="W104" i="13"/>
  <c r="Z32" i="13"/>
  <c r="Y31" i="13"/>
  <c r="AG316" i="13"/>
  <c r="AF315" i="13"/>
  <c r="AB83" i="13"/>
  <c r="AA82" i="13"/>
  <c r="AG243" i="13"/>
  <c r="AF242" i="13"/>
  <c r="Z138" i="13"/>
  <c r="Y137" i="13"/>
  <c r="K161" i="13"/>
  <c r="L161" i="13" s="1"/>
  <c r="L166" i="13" s="1" a="1"/>
  <c r="L166" i="13" s="1"/>
  <c r="L168" i="13" s="1"/>
  <c r="J61" i="13" a="1"/>
  <c r="J61" i="13" s="1"/>
  <c r="J63" i="13" s="1"/>
  <c r="K56" i="13"/>
  <c r="J272" i="13" a="1"/>
  <c r="J272" i="13" s="1"/>
  <c r="J274" i="13" s="1"/>
  <c r="K267" i="13"/>
  <c r="K166" i="13" l="1" a="1"/>
  <c r="K166" i="13" s="1"/>
  <c r="K168" i="13" s="1"/>
  <c r="AF316" i="13"/>
  <c r="AE315" i="13"/>
  <c r="W105" i="13"/>
  <c r="V104" i="13"/>
  <c r="V210" i="13"/>
  <c r="U209" i="13"/>
  <c r="Y138" i="13"/>
  <c r="X137" i="13"/>
  <c r="AF243" i="13"/>
  <c r="AE242" i="13"/>
  <c r="AJ294" i="13"/>
  <c r="AI293" i="13"/>
  <c r="Y32" i="13"/>
  <c r="X31" i="13"/>
  <c r="AA83" i="13"/>
  <c r="Z82" i="13"/>
  <c r="Z188" i="13"/>
  <c r="Y187" i="13"/>
  <c r="M161" i="13"/>
  <c r="M166" i="13" s="1" a="1"/>
  <c r="M166" i="13" s="1"/>
  <c r="M168" i="13" s="1"/>
  <c r="K272" i="13" a="1"/>
  <c r="K272" i="13" s="1"/>
  <c r="K274" i="13" s="1"/>
  <c r="L267" i="13"/>
  <c r="K61" i="13" a="1"/>
  <c r="K61" i="13" s="1"/>
  <c r="K63" i="13" s="1"/>
  <c r="L56" i="13"/>
  <c r="X138" i="13" l="1"/>
  <c r="W137" i="13"/>
  <c r="AI294" i="13"/>
  <c r="AH293" i="13"/>
  <c r="U210" i="13"/>
  <c r="T209" i="13"/>
  <c r="AE243" i="13"/>
  <c r="AD242" i="13"/>
  <c r="Z83" i="13"/>
  <c r="Y82" i="13"/>
  <c r="V105" i="13"/>
  <c r="U104" i="13"/>
  <c r="Y188" i="13"/>
  <c r="X187" i="13"/>
  <c r="X32" i="13"/>
  <c r="W31" i="13"/>
  <c r="AE316" i="13"/>
  <c r="AD315" i="13"/>
  <c r="N161" i="13"/>
  <c r="N166" i="13" s="1" a="1"/>
  <c r="N166" i="13" s="1"/>
  <c r="N168" i="13" s="1"/>
  <c r="L272" i="13" a="1"/>
  <c r="L272" i="13" s="1"/>
  <c r="L274" i="13" s="1"/>
  <c r="M267" i="13"/>
  <c r="L61" i="13" a="1"/>
  <c r="L61" i="13" s="1"/>
  <c r="L63" i="13" s="1"/>
  <c r="M56" i="13"/>
  <c r="Y83" i="13" l="1"/>
  <c r="X82" i="13"/>
  <c r="T210" i="13"/>
  <c r="S209" i="13"/>
  <c r="W32" i="13"/>
  <c r="V31" i="13"/>
  <c r="AH294" i="13"/>
  <c r="AG293" i="13"/>
  <c r="U105" i="13"/>
  <c r="T104" i="13"/>
  <c r="AD243" i="13"/>
  <c r="AC242" i="13"/>
  <c r="AD316" i="13"/>
  <c r="AC315" i="13"/>
  <c r="X188" i="13"/>
  <c r="W187" i="13"/>
  <c r="V137" i="13"/>
  <c r="W138" i="13"/>
  <c r="O161" i="13"/>
  <c r="P161" i="13" s="1"/>
  <c r="N56" i="13"/>
  <c r="M61" i="13" a="1"/>
  <c r="M61" i="13" s="1"/>
  <c r="M63" i="13" s="1"/>
  <c r="M272" i="13" a="1"/>
  <c r="M272" i="13" s="1"/>
  <c r="M274" i="13" s="1"/>
  <c r="N267" i="13"/>
  <c r="T105" i="13" l="1"/>
  <c r="S104" i="13"/>
  <c r="W188" i="13"/>
  <c r="V187" i="13"/>
  <c r="S210" i="13"/>
  <c r="R209" i="13"/>
  <c r="AG294" i="13"/>
  <c r="AF293" i="13"/>
  <c r="V138" i="13"/>
  <c r="U137" i="13"/>
  <c r="AC243" i="13"/>
  <c r="AB242" i="13"/>
  <c r="AC316" i="13"/>
  <c r="AB315" i="13"/>
  <c r="X83" i="13"/>
  <c r="W82" i="13"/>
  <c r="U31" i="13"/>
  <c r="V32" i="13"/>
  <c r="O166" i="13" a="1"/>
  <c r="O166" i="13" s="1"/>
  <c r="O168" i="13" s="1"/>
  <c r="O267" i="13"/>
  <c r="N272" i="13" a="1"/>
  <c r="N272" i="13" s="1"/>
  <c r="N274" i="13" s="1"/>
  <c r="N61" i="13" a="1"/>
  <c r="N61" i="13" s="1"/>
  <c r="N63" i="13" s="1"/>
  <c r="O56" i="13"/>
  <c r="P166" i="13" a="1"/>
  <c r="P166" i="13" s="1"/>
  <c r="P168" i="13" s="1"/>
  <c r="Q161" i="13"/>
  <c r="AB243" i="13" l="1"/>
  <c r="AA242" i="13"/>
  <c r="T137" i="13"/>
  <c r="U138" i="13"/>
  <c r="W83" i="13"/>
  <c r="V82" i="13"/>
  <c r="V188" i="13"/>
  <c r="U187" i="13"/>
  <c r="R210" i="13"/>
  <c r="Q209" i="13"/>
  <c r="AA315" i="13"/>
  <c r="AB316" i="13"/>
  <c r="S105" i="13"/>
  <c r="R104" i="13"/>
  <c r="AF294" i="13"/>
  <c r="AE293" i="13"/>
  <c r="U32" i="13"/>
  <c r="T31" i="13"/>
  <c r="O61" i="13" a="1"/>
  <c r="O61" i="13" s="1"/>
  <c r="O63" i="13" s="1"/>
  <c r="P56" i="13"/>
  <c r="O272" i="13" a="1"/>
  <c r="O272" i="13" s="1"/>
  <c r="O274" i="13" s="1"/>
  <c r="P267" i="13"/>
  <c r="Q166" i="13" a="1"/>
  <c r="Q166" i="13" s="1"/>
  <c r="Q168" i="13" s="1"/>
  <c r="R161" i="13"/>
  <c r="U188" i="13" l="1"/>
  <c r="T187" i="13"/>
  <c r="P209" i="13"/>
  <c r="Q210" i="13"/>
  <c r="AA316" i="13"/>
  <c r="Z315" i="13"/>
  <c r="U82" i="13"/>
  <c r="V83" i="13"/>
  <c r="S137" i="13"/>
  <c r="T138" i="13"/>
  <c r="Q104" i="13"/>
  <c r="R105" i="13"/>
  <c r="Z242" i="13"/>
  <c r="AA243" i="13"/>
  <c r="T32" i="13"/>
  <c r="S31" i="13"/>
  <c r="AE294" i="13"/>
  <c r="AD293" i="13"/>
  <c r="P272" i="13" a="1"/>
  <c r="P272" i="13" s="1"/>
  <c r="P274" i="13" s="1"/>
  <c r="Q267" i="13"/>
  <c r="Q56" i="13"/>
  <c r="P61" i="13" a="1"/>
  <c r="P61" i="13" s="1"/>
  <c r="P63" i="13" s="1"/>
  <c r="R166" i="13" a="1"/>
  <c r="R166" i="13" s="1"/>
  <c r="R168" i="13" s="1"/>
  <c r="S161" i="13"/>
  <c r="Q105" i="13" l="1"/>
  <c r="P104" i="13"/>
  <c r="S138" i="13"/>
  <c r="R137" i="13"/>
  <c r="AD294" i="13"/>
  <c r="AC293" i="13"/>
  <c r="P210" i="13"/>
  <c r="O209" i="13"/>
  <c r="Y315" i="13"/>
  <c r="Z316" i="13"/>
  <c r="S32" i="13"/>
  <c r="R31" i="13"/>
  <c r="S187" i="13"/>
  <c r="T188" i="13"/>
  <c r="U83" i="13"/>
  <c r="T82" i="13"/>
  <c r="Z243" i="13"/>
  <c r="Y242" i="13"/>
  <c r="Q61" i="13" a="1"/>
  <c r="Q61" i="13" s="1"/>
  <c r="Q63" i="13" s="1"/>
  <c r="R56" i="13"/>
  <c r="R267" i="13"/>
  <c r="Q272" i="13" a="1"/>
  <c r="Q272" i="13" s="1"/>
  <c r="Q274" i="13" s="1"/>
  <c r="S166" i="13" a="1"/>
  <c r="S166" i="13" s="1"/>
  <c r="S168" i="13" s="1"/>
  <c r="T161" i="13"/>
  <c r="R32" i="13" l="1"/>
  <c r="Q31" i="13"/>
  <c r="T83" i="13"/>
  <c r="S82" i="13"/>
  <c r="R138" i="13"/>
  <c r="Q137" i="13"/>
  <c r="Y316" i="13"/>
  <c r="X315" i="13"/>
  <c r="N209" i="13"/>
  <c r="O210" i="13"/>
  <c r="AB293" i="13"/>
  <c r="AC294" i="13"/>
  <c r="P105" i="13"/>
  <c r="O104" i="13"/>
  <c r="X242" i="13"/>
  <c r="Y243" i="13"/>
  <c r="S188" i="13"/>
  <c r="R187" i="13"/>
  <c r="R61" i="13" a="1"/>
  <c r="R61" i="13" s="1"/>
  <c r="R63" i="13" s="1"/>
  <c r="S56" i="13"/>
  <c r="S267" i="13"/>
  <c r="R272" i="13" a="1"/>
  <c r="R272" i="13" s="1"/>
  <c r="R274" i="13" s="1"/>
  <c r="T166" i="13" a="1"/>
  <c r="T166" i="13" s="1"/>
  <c r="T168" i="13" s="1"/>
  <c r="U161" i="13"/>
  <c r="AB294" i="13" l="1"/>
  <c r="AA293" i="13"/>
  <c r="N210" i="13"/>
  <c r="M209" i="13"/>
  <c r="X316" i="13"/>
  <c r="W315" i="13"/>
  <c r="S83" i="13"/>
  <c r="R82" i="13"/>
  <c r="Q138" i="13"/>
  <c r="P137" i="13"/>
  <c r="W242" i="13"/>
  <c r="X243" i="13"/>
  <c r="N104" i="13"/>
  <c r="O105" i="13"/>
  <c r="P31" i="13"/>
  <c r="Q32" i="13"/>
  <c r="R188" i="13"/>
  <c r="Q187" i="13"/>
  <c r="T267" i="13"/>
  <c r="S272" i="13" a="1"/>
  <c r="S272" i="13" s="1"/>
  <c r="S274" i="13" s="1"/>
  <c r="S61" i="13" a="1"/>
  <c r="S61" i="13" s="1"/>
  <c r="S63" i="13" s="1"/>
  <c r="T56" i="13"/>
  <c r="U166" i="13" a="1"/>
  <c r="U166" i="13" s="1"/>
  <c r="U168" i="13" s="1"/>
  <c r="V161" i="13"/>
  <c r="V242" i="13" l="1"/>
  <c r="W243" i="13"/>
  <c r="W316" i="13"/>
  <c r="V315" i="13"/>
  <c r="L209" i="13"/>
  <c r="M210" i="13"/>
  <c r="R83" i="13"/>
  <c r="Q82" i="13"/>
  <c r="O31" i="13"/>
  <c r="P32" i="13"/>
  <c r="AA294" i="13"/>
  <c r="Z293" i="13"/>
  <c r="P138" i="13"/>
  <c r="O137" i="13"/>
  <c r="Q188" i="13"/>
  <c r="P187" i="13"/>
  <c r="M104" i="13"/>
  <c r="N105" i="13"/>
  <c r="T61" i="13" a="1"/>
  <c r="T61" i="13" s="1"/>
  <c r="T63" i="13" s="1"/>
  <c r="U56" i="13"/>
  <c r="T272" i="13" a="1"/>
  <c r="T272" i="13" s="1"/>
  <c r="T274" i="13" s="1"/>
  <c r="U267" i="13"/>
  <c r="V166" i="13" a="1"/>
  <c r="V166" i="13" s="1"/>
  <c r="V168" i="13" s="1"/>
  <c r="W161" i="13"/>
  <c r="Z294" i="13" l="1"/>
  <c r="Y293" i="13"/>
  <c r="K209" i="13"/>
  <c r="L210" i="13"/>
  <c r="Q83" i="13"/>
  <c r="P82" i="13"/>
  <c r="P188" i="13"/>
  <c r="O187" i="13"/>
  <c r="V316" i="13"/>
  <c r="U315" i="13"/>
  <c r="N31" i="13"/>
  <c r="O32" i="13"/>
  <c r="O138" i="13"/>
  <c r="N137" i="13"/>
  <c r="L104" i="13"/>
  <c r="M105" i="13"/>
  <c r="U242" i="13"/>
  <c r="V243" i="13"/>
  <c r="U272" i="13" a="1"/>
  <c r="U272" i="13" s="1"/>
  <c r="U274" i="13" s="1"/>
  <c r="V267" i="13"/>
  <c r="V56" i="13"/>
  <c r="U61" i="13" a="1"/>
  <c r="U61" i="13" s="1"/>
  <c r="U63" i="13" s="1"/>
  <c r="W166" i="13" a="1"/>
  <c r="W166" i="13" s="1"/>
  <c r="W168" i="13" s="1"/>
  <c r="X161" i="13"/>
  <c r="N187" i="13" l="1"/>
  <c r="O188" i="13"/>
  <c r="O82" i="13"/>
  <c r="P83" i="13"/>
  <c r="L105" i="13"/>
  <c r="K104" i="13"/>
  <c r="J209" i="13"/>
  <c r="J210" i="13" s="1"/>
  <c r="K210" i="13"/>
  <c r="M31" i="13"/>
  <c r="N32" i="13"/>
  <c r="M137" i="13"/>
  <c r="N138" i="13"/>
  <c r="X293" i="13"/>
  <c r="Y294" i="13"/>
  <c r="U316" i="13"/>
  <c r="T315" i="13"/>
  <c r="U243" i="13"/>
  <c r="T242" i="13"/>
  <c r="V61" i="13" a="1"/>
  <c r="V61" i="13" s="1"/>
  <c r="V63" i="13" s="1"/>
  <c r="W56" i="13"/>
  <c r="V272" i="13" a="1"/>
  <c r="V272" i="13" s="1"/>
  <c r="V274" i="13" s="1"/>
  <c r="W267" i="13"/>
  <c r="X166" i="13" a="1"/>
  <c r="X166" i="13" s="1"/>
  <c r="X168" i="13" s="1"/>
  <c r="Y161" i="13"/>
  <c r="L137" i="13" l="1"/>
  <c r="M138" i="13"/>
  <c r="J211" i="13"/>
  <c r="J216" i="13" s="1" a="1"/>
  <c r="J216" i="13" s="1"/>
  <c r="J218" i="13" s="1"/>
  <c r="O83" i="13"/>
  <c r="N82" i="13"/>
  <c r="L31" i="13"/>
  <c r="M32" i="13"/>
  <c r="J104" i="13"/>
  <c r="J105" i="13" s="1"/>
  <c r="K105" i="13"/>
  <c r="T243" i="13"/>
  <c r="S242" i="13"/>
  <c r="T316" i="13"/>
  <c r="S315" i="13"/>
  <c r="X294" i="13"/>
  <c r="W293" i="13"/>
  <c r="N188" i="13"/>
  <c r="M187" i="13"/>
  <c r="W272" i="13" a="1"/>
  <c r="W272" i="13" s="1"/>
  <c r="W274" i="13" s="1"/>
  <c r="X267" i="13"/>
  <c r="W61" i="13" a="1"/>
  <c r="W61" i="13" s="1"/>
  <c r="W63" i="13" s="1"/>
  <c r="X56" i="13"/>
  <c r="Y166" i="13" a="1"/>
  <c r="Y166" i="13" s="1"/>
  <c r="Y168" i="13" s="1"/>
  <c r="Z161" i="13"/>
  <c r="K211" i="13" l="1"/>
  <c r="K216" i="13" s="1" a="1"/>
  <c r="K216" i="13" s="1"/>
  <c r="K218" i="13" s="1"/>
  <c r="L187" i="13"/>
  <c r="M188" i="13"/>
  <c r="R315" i="13"/>
  <c r="S316" i="13"/>
  <c r="M82" i="13"/>
  <c r="N83" i="13"/>
  <c r="V293" i="13"/>
  <c r="W294" i="13"/>
  <c r="K31" i="13"/>
  <c r="L32" i="13"/>
  <c r="R242" i="13"/>
  <c r="S243" i="13"/>
  <c r="J106" i="13"/>
  <c r="J111" i="13" s="1" a="1"/>
  <c r="J111" i="13" s="1"/>
  <c r="J113" i="13" s="1"/>
  <c r="L138" i="13"/>
  <c r="K137" i="13"/>
  <c r="X272" i="13" a="1"/>
  <c r="X272" i="13" s="1"/>
  <c r="X274" i="13" s="1"/>
  <c r="Y267" i="13"/>
  <c r="Y56" i="13"/>
  <c r="X61" i="13" a="1"/>
  <c r="X61" i="13" s="1"/>
  <c r="X63" i="13" s="1"/>
  <c r="Z166" i="13" a="1"/>
  <c r="Z166" i="13" s="1"/>
  <c r="Z168" i="13" s="1"/>
  <c r="AA161" i="13"/>
  <c r="L211" i="13" l="1"/>
  <c r="L216" i="13" s="1" a="1"/>
  <c r="L216" i="13" s="1"/>
  <c r="L218" i="13" s="1"/>
  <c r="M211" i="13"/>
  <c r="M216" i="13" s="1" a="1"/>
  <c r="M216" i="13" s="1"/>
  <c r="M218" i="13" s="1"/>
  <c r="R243" i="13"/>
  <c r="Q242" i="13"/>
  <c r="M83" i="13"/>
  <c r="L82" i="13"/>
  <c r="J137" i="13"/>
  <c r="J138" i="13" s="1"/>
  <c r="K138" i="13"/>
  <c r="J31" i="13"/>
  <c r="J32" i="13" s="1"/>
  <c r="K32" i="13"/>
  <c r="K106" i="13"/>
  <c r="Q315" i="13"/>
  <c r="R316" i="13"/>
  <c r="V294" i="13"/>
  <c r="U293" i="13"/>
  <c r="K187" i="13"/>
  <c r="L188" i="13"/>
  <c r="Y61" i="13" a="1"/>
  <c r="Y61" i="13" s="1"/>
  <c r="Y63" i="13" s="1"/>
  <c r="Z56" i="13"/>
  <c r="Y272" i="13" a="1"/>
  <c r="Y272" i="13" s="1"/>
  <c r="Y274" i="13" s="1"/>
  <c r="Z267" i="13"/>
  <c r="AA166" i="13" a="1"/>
  <c r="AA166" i="13" s="1"/>
  <c r="AA168" i="13" s="1"/>
  <c r="AB161" i="13"/>
  <c r="N211" i="13" l="1"/>
  <c r="K111" i="13" a="1"/>
  <c r="K111" i="13" s="1"/>
  <c r="K113" i="13" s="1"/>
  <c r="L106" i="13"/>
  <c r="Q316" i="13"/>
  <c r="P315" i="13"/>
  <c r="J139" i="13"/>
  <c r="J144" i="13" s="1" a="1"/>
  <c r="J144" i="13" s="1"/>
  <c r="J146" i="13" s="1"/>
  <c r="J33" i="13"/>
  <c r="J38" i="13" s="1" a="1"/>
  <c r="J38" i="13" s="1"/>
  <c r="J40" i="13" s="1"/>
  <c r="J187" i="13"/>
  <c r="J188" i="13" s="1"/>
  <c r="K188" i="13"/>
  <c r="K82" i="13"/>
  <c r="L83" i="13"/>
  <c r="T293" i="13"/>
  <c r="U294" i="13"/>
  <c r="Q243" i="13"/>
  <c r="P242" i="13"/>
  <c r="AA56" i="13"/>
  <c r="Z61" i="13" a="1"/>
  <c r="Z61" i="13" s="1"/>
  <c r="Z63" i="13" s="1"/>
  <c r="Z272" i="13" a="1"/>
  <c r="Z272" i="13" s="1"/>
  <c r="Z274" i="13" s="1"/>
  <c r="AA267" i="13"/>
  <c r="AB166" i="13" a="1"/>
  <c r="AB166" i="13" s="1"/>
  <c r="AB168" i="13" s="1"/>
  <c r="AC161" i="13"/>
  <c r="N216" i="13" l="1" a="1"/>
  <c r="N216" i="13" s="1"/>
  <c r="N218" i="13" s="1"/>
  <c r="O211" i="13"/>
  <c r="K139" i="13"/>
  <c r="K144" i="13" s="1" a="1"/>
  <c r="K144" i="13" s="1"/>
  <c r="K146" i="13" s="1"/>
  <c r="K33" i="13"/>
  <c r="P243" i="13"/>
  <c r="O242" i="13"/>
  <c r="P316" i="13"/>
  <c r="O315" i="13"/>
  <c r="J82" i="13"/>
  <c r="J83" i="13" s="1"/>
  <c r="K83" i="13"/>
  <c r="L111" i="13" a="1"/>
  <c r="L111" i="13" s="1"/>
  <c r="L113" i="13" s="1"/>
  <c r="M106" i="13"/>
  <c r="S293" i="13"/>
  <c r="T294" i="13"/>
  <c r="J189" i="13"/>
  <c r="J194" i="13" s="1" a="1"/>
  <c r="J194" i="13" s="1"/>
  <c r="J196" i="13" s="1"/>
  <c r="AA61" i="13" a="1"/>
  <c r="AA61" i="13" s="1"/>
  <c r="AA63" i="13" s="1"/>
  <c r="AB56" i="13"/>
  <c r="AA272" i="13" a="1"/>
  <c r="AA272" i="13" s="1"/>
  <c r="AA274" i="13" s="1"/>
  <c r="AB267" i="13"/>
  <c r="AC166" i="13" a="1"/>
  <c r="AC166" i="13" s="1"/>
  <c r="AC168" i="13" s="1"/>
  <c r="AD161" i="13"/>
  <c r="O216" i="13" l="1" a="1"/>
  <c r="O216" i="13" s="1"/>
  <c r="O218" i="13" s="1"/>
  <c r="P211" i="13"/>
  <c r="L139" i="13"/>
  <c r="K189" i="13"/>
  <c r="K38" i="13" a="1"/>
  <c r="K38" i="13" s="1"/>
  <c r="K40" i="13" s="1"/>
  <c r="L33" i="13"/>
  <c r="M111" i="13" a="1"/>
  <c r="M111" i="13" s="1"/>
  <c r="M113" i="13" s="1"/>
  <c r="N106" i="13"/>
  <c r="O243" i="13"/>
  <c r="N242" i="13"/>
  <c r="O316" i="13"/>
  <c r="N315" i="13"/>
  <c r="J84" i="13"/>
  <c r="J89" i="13" s="1" a="1"/>
  <c r="J89" i="13" s="1"/>
  <c r="J91" i="13" s="1"/>
  <c r="S294" i="13"/>
  <c r="R293" i="13"/>
  <c r="AB272" i="13" a="1"/>
  <c r="AB272" i="13" s="1"/>
  <c r="AB274" i="13" s="1"/>
  <c r="AC267" i="13"/>
  <c r="AB61" i="13" a="1"/>
  <c r="AB61" i="13" s="1"/>
  <c r="AB63" i="13" s="1"/>
  <c r="AC56" i="13"/>
  <c r="AD166" i="13" a="1"/>
  <c r="AD166" i="13" s="1"/>
  <c r="AD168" i="13" s="1"/>
  <c r="AE161" i="13"/>
  <c r="Q211" i="13" l="1"/>
  <c r="P216" i="13" a="1"/>
  <c r="P216" i="13" s="1"/>
  <c r="P218" i="13" s="1"/>
  <c r="M139" i="13"/>
  <c r="L144" i="13" a="1"/>
  <c r="L144" i="13" s="1"/>
  <c r="L146" i="13" s="1"/>
  <c r="L38" i="13" a="1"/>
  <c r="L38" i="13" s="1"/>
  <c r="L40" i="13" s="1"/>
  <c r="M33" i="13"/>
  <c r="K194" i="13" a="1"/>
  <c r="K194" i="13" s="1"/>
  <c r="K196" i="13" s="1"/>
  <c r="L189" i="13"/>
  <c r="N111" i="13" a="1"/>
  <c r="N111" i="13" s="1"/>
  <c r="N113" i="13" s="1"/>
  <c r="O106" i="13"/>
  <c r="M315" i="13"/>
  <c r="N316" i="13"/>
  <c r="R294" i="13"/>
  <c r="Q293" i="13"/>
  <c r="M242" i="13"/>
  <c r="N243" i="13"/>
  <c r="K84" i="13"/>
  <c r="AD267" i="13"/>
  <c r="AC272" i="13" a="1"/>
  <c r="AC272" i="13" s="1"/>
  <c r="AC274" i="13" s="1"/>
  <c r="AC61" i="13" a="1"/>
  <c r="AC61" i="13" s="1"/>
  <c r="AC63" i="13" s="1"/>
  <c r="AD56" i="13"/>
  <c r="AE166" i="13" a="1"/>
  <c r="AE166" i="13" s="1"/>
  <c r="AE168" i="13" s="1"/>
  <c r="AF161" i="13"/>
  <c r="Q216" i="13" l="1" a="1"/>
  <c r="Q216" i="13" s="1"/>
  <c r="Q218" i="13" s="1"/>
  <c r="R211" i="13"/>
  <c r="M144" i="13" a="1"/>
  <c r="M144" i="13" s="1"/>
  <c r="M146" i="13" s="1"/>
  <c r="N139" i="13"/>
  <c r="L194" i="13" a="1"/>
  <c r="L194" i="13" s="1"/>
  <c r="L196" i="13" s="1"/>
  <c r="M189" i="13"/>
  <c r="M38" i="13" a="1"/>
  <c r="M38" i="13" s="1"/>
  <c r="M40" i="13" s="1"/>
  <c r="N33" i="13"/>
  <c r="M316" i="13"/>
  <c r="L315" i="13"/>
  <c r="L242" i="13"/>
  <c r="M243" i="13"/>
  <c r="O111" i="13" a="1"/>
  <c r="O111" i="13" s="1"/>
  <c r="O113" i="13" s="1"/>
  <c r="P106" i="13"/>
  <c r="K89" i="13" a="1"/>
  <c r="K89" i="13" s="1"/>
  <c r="K91" i="13" s="1"/>
  <c r="L84" i="13"/>
  <c r="Q294" i="13"/>
  <c r="P293" i="13"/>
  <c r="AD61" i="13" a="1"/>
  <c r="AD61" i="13" s="1"/>
  <c r="AD63" i="13" s="1"/>
  <c r="AE56" i="13"/>
  <c r="AD272" i="13" a="1"/>
  <c r="AD272" i="13" s="1"/>
  <c r="AD274" i="13" s="1"/>
  <c r="AE267" i="13"/>
  <c r="AF166" i="13" a="1"/>
  <c r="AF166" i="13" s="1"/>
  <c r="AF168" i="13" s="1"/>
  <c r="AG161" i="13"/>
  <c r="R216" i="13" l="1" a="1"/>
  <c r="R216" i="13" s="1"/>
  <c r="R218" i="13" s="1"/>
  <c r="S211" i="13"/>
  <c r="O139" i="13"/>
  <c r="N144" i="13" a="1"/>
  <c r="N144" i="13" s="1"/>
  <c r="N146" i="13" s="1"/>
  <c r="O33" i="13"/>
  <c r="N38" i="13" a="1"/>
  <c r="N38" i="13" s="1"/>
  <c r="N40" i="13" s="1"/>
  <c r="M194" i="13" a="1"/>
  <c r="M194" i="13" s="1"/>
  <c r="M196" i="13" s="1"/>
  <c r="N189" i="13"/>
  <c r="L89" i="13" a="1"/>
  <c r="L89" i="13" s="1"/>
  <c r="L91" i="13" s="1"/>
  <c r="M84" i="13"/>
  <c r="P111" i="13" a="1"/>
  <c r="P111" i="13" s="1"/>
  <c r="P113" i="13" s="1"/>
  <c r="Q106" i="13"/>
  <c r="L243" i="13"/>
  <c r="K242" i="13"/>
  <c r="P294" i="13"/>
  <c r="O293" i="13"/>
  <c r="L316" i="13"/>
  <c r="K315" i="13"/>
  <c r="AE272" i="13" a="1"/>
  <c r="AE272" i="13" s="1"/>
  <c r="AE274" i="13" s="1"/>
  <c r="AF267" i="13"/>
  <c r="AE61" i="13" a="1"/>
  <c r="AE61" i="13" s="1"/>
  <c r="AE63" i="13" s="1"/>
  <c r="AF56" i="13"/>
  <c r="AG166" i="13" a="1"/>
  <c r="AG166" i="13" s="1"/>
  <c r="AG168" i="13" s="1"/>
  <c r="AH161" i="13"/>
  <c r="S216" i="13" l="1" a="1"/>
  <c r="S216" i="13" s="1"/>
  <c r="S218" i="13" s="1"/>
  <c r="T211" i="13"/>
  <c r="O144" i="13" a="1"/>
  <c r="O144" i="13" s="1"/>
  <c r="O146" i="13" s="1"/>
  <c r="P139" i="13"/>
  <c r="O189" i="13"/>
  <c r="N194" i="13" a="1"/>
  <c r="N194" i="13" s="1"/>
  <c r="N196" i="13" s="1"/>
  <c r="P33" i="13"/>
  <c r="O38" i="13" a="1"/>
  <c r="O38" i="13" s="1"/>
  <c r="O40" i="13" s="1"/>
  <c r="Q111" i="13" a="1"/>
  <c r="Q111" i="13" s="1"/>
  <c r="Q113" i="13" s="1"/>
  <c r="R106" i="13"/>
  <c r="N293" i="13"/>
  <c r="O294" i="13"/>
  <c r="M89" i="13" a="1"/>
  <c r="M89" i="13" s="1"/>
  <c r="M91" i="13" s="1"/>
  <c r="N84" i="13"/>
  <c r="K316" i="13"/>
  <c r="J315" i="13"/>
  <c r="J316" i="13" s="1"/>
  <c r="K243" i="13"/>
  <c r="J242" i="13"/>
  <c r="J243" i="13" s="1"/>
  <c r="AG56" i="13"/>
  <c r="AF61" i="13" a="1"/>
  <c r="AF61" i="13" s="1"/>
  <c r="AF63" i="13" s="1"/>
  <c r="AF272" i="13" a="1"/>
  <c r="AF272" i="13" s="1"/>
  <c r="AF274" i="13" s="1"/>
  <c r="AG267" i="13"/>
  <c r="AH166" i="13" a="1"/>
  <c r="AH166" i="13" s="1"/>
  <c r="AH168" i="13" s="1"/>
  <c r="AI161" i="13"/>
  <c r="T216" i="13" l="1" a="1"/>
  <c r="T216" i="13" s="1"/>
  <c r="T218" i="13" s="1"/>
  <c r="U211" i="13"/>
  <c r="Q139" i="13"/>
  <c r="P144" i="13" a="1"/>
  <c r="P144" i="13" s="1"/>
  <c r="P146" i="13" s="1"/>
  <c r="P38" i="13" a="1"/>
  <c r="P38" i="13" s="1"/>
  <c r="P40" i="13" s="1"/>
  <c r="Q33" i="13"/>
  <c r="O194" i="13" a="1"/>
  <c r="O194" i="13" s="1"/>
  <c r="O196" i="13" s="1"/>
  <c r="P189" i="13"/>
  <c r="M293" i="13"/>
  <c r="N294" i="13"/>
  <c r="R111" i="13" a="1"/>
  <c r="R111" i="13" s="1"/>
  <c r="R113" i="13" s="1"/>
  <c r="S106" i="13"/>
  <c r="J244" i="13"/>
  <c r="J249" i="13" s="1" a="1"/>
  <c r="J249" i="13" s="1"/>
  <c r="J251" i="13" s="1"/>
  <c r="J317" i="13"/>
  <c r="J322" i="13" s="1" a="1"/>
  <c r="J322" i="13" s="1"/>
  <c r="J324" i="13" s="1"/>
  <c r="N89" i="13" a="1"/>
  <c r="N89" i="13" s="1"/>
  <c r="N91" i="13" s="1"/>
  <c r="O84" i="13"/>
  <c r="AG272" i="13" a="1"/>
  <c r="AG272" i="13" s="1"/>
  <c r="AG274" i="13" s="1"/>
  <c r="AH267" i="13"/>
  <c r="AG61" i="13" a="1"/>
  <c r="AG61" i="13" s="1"/>
  <c r="AG63" i="13" s="1"/>
  <c r="AH56" i="13"/>
  <c r="AI166" i="13" a="1"/>
  <c r="AI166" i="13" s="1"/>
  <c r="AI168" i="13" s="1"/>
  <c r="AJ161" i="13"/>
  <c r="U216" i="13" l="1" a="1"/>
  <c r="U216" i="13" s="1"/>
  <c r="U218" i="13" s="1"/>
  <c r="V211" i="13"/>
  <c r="K244" i="13"/>
  <c r="K249" i="13" s="1" a="1"/>
  <c r="K249" i="13" s="1"/>
  <c r="K251" i="13" s="1"/>
  <c r="Q144" i="13" a="1"/>
  <c r="Q144" i="13" s="1"/>
  <c r="Q146" i="13" s="1"/>
  <c r="R139" i="13"/>
  <c r="P194" i="13" a="1"/>
  <c r="P194" i="13" s="1"/>
  <c r="P196" i="13" s="1"/>
  <c r="Q189" i="13"/>
  <c r="R33" i="13"/>
  <c r="Q38" i="13" a="1"/>
  <c r="Q38" i="13" s="1"/>
  <c r="Q40" i="13" s="1"/>
  <c r="T106" i="13"/>
  <c r="S111" i="13" a="1"/>
  <c r="S111" i="13" s="1"/>
  <c r="S113" i="13" s="1"/>
  <c r="M294" i="13"/>
  <c r="L293" i="13"/>
  <c r="O89" i="13" a="1"/>
  <c r="O89" i="13" s="1"/>
  <c r="O91" i="13" s="1"/>
  <c r="P84" i="13"/>
  <c r="K317" i="13"/>
  <c r="AI56" i="13"/>
  <c r="AH61" i="13" a="1"/>
  <c r="AH61" i="13" s="1"/>
  <c r="AH63" i="13" s="1"/>
  <c r="AI267" i="13"/>
  <c r="AH272" i="13" a="1"/>
  <c r="AH272" i="13" s="1"/>
  <c r="AH274" i="13" s="1"/>
  <c r="AJ166" i="13" a="1"/>
  <c r="AJ166" i="13" s="1"/>
  <c r="AJ168" i="13" s="1"/>
  <c r="AK161" i="13"/>
  <c r="L244" i="13" l="1"/>
  <c r="V216" i="13" a="1"/>
  <c r="V216" i="13" s="1"/>
  <c r="V218" i="13" s="1"/>
  <c r="W211" i="13"/>
  <c r="S139" i="13"/>
  <c r="R144" i="13" a="1"/>
  <c r="R144" i="13" s="1"/>
  <c r="R146" i="13" s="1"/>
  <c r="L249" i="13" a="1"/>
  <c r="L249" i="13" s="1"/>
  <c r="L251" i="13" s="1"/>
  <c r="M244" i="13"/>
  <c r="S33" i="13"/>
  <c r="R38" i="13" a="1"/>
  <c r="R38" i="13" s="1"/>
  <c r="R40" i="13" s="1"/>
  <c r="R189" i="13"/>
  <c r="Q194" i="13" a="1"/>
  <c r="Q194" i="13" s="1"/>
  <c r="Q196" i="13" s="1"/>
  <c r="K293" i="13"/>
  <c r="L294" i="13"/>
  <c r="P89" i="13" a="1"/>
  <c r="P89" i="13" s="1"/>
  <c r="P91" i="13" s="1"/>
  <c r="Q84" i="13"/>
  <c r="K322" i="13" a="1"/>
  <c r="K322" i="13" s="1"/>
  <c r="K324" i="13" s="1"/>
  <c r="L317" i="13"/>
  <c r="T111" i="13" a="1"/>
  <c r="T111" i="13" s="1"/>
  <c r="T113" i="13" s="1"/>
  <c r="U106" i="13"/>
  <c r="AI272" i="13" a="1"/>
  <c r="AI272" i="13" s="1"/>
  <c r="AI274" i="13" s="1"/>
  <c r="AJ267" i="13"/>
  <c r="AI61" i="13" a="1"/>
  <c r="AI61" i="13" s="1"/>
  <c r="AI63" i="13" s="1"/>
  <c r="AJ56" i="13"/>
  <c r="AK166" i="13" a="1"/>
  <c r="AK166" i="13" s="1"/>
  <c r="AL161" i="13"/>
  <c r="W216" i="13" l="1" a="1"/>
  <c r="W216" i="13" s="1"/>
  <c r="W218" i="13" s="1"/>
  <c r="X211" i="13"/>
  <c r="T139" i="13"/>
  <c r="S144" i="13" a="1"/>
  <c r="S144" i="13" s="1"/>
  <c r="S146" i="13" s="1"/>
  <c r="R194" i="13" a="1"/>
  <c r="R194" i="13" s="1"/>
  <c r="R196" i="13" s="1"/>
  <c r="S189" i="13"/>
  <c r="T33" i="13"/>
  <c r="S38" i="13" a="1"/>
  <c r="S38" i="13" s="1"/>
  <c r="S40" i="13" s="1"/>
  <c r="M249" i="13" a="1"/>
  <c r="M249" i="13" s="1"/>
  <c r="M251" i="13" s="1"/>
  <c r="N244" i="13"/>
  <c r="L322" i="13" a="1"/>
  <c r="L322" i="13" s="1"/>
  <c r="L324" i="13" s="1"/>
  <c r="M317" i="13"/>
  <c r="U111" i="13" a="1"/>
  <c r="U111" i="13" s="1"/>
  <c r="U113" i="13" s="1"/>
  <c r="V106" i="13"/>
  <c r="Q89" i="13" a="1"/>
  <c r="Q89" i="13" s="1"/>
  <c r="Q91" i="13" s="1"/>
  <c r="R84" i="13"/>
  <c r="J293" i="13"/>
  <c r="J294" i="13" s="1"/>
  <c r="K294" i="13"/>
  <c r="AK168" i="13"/>
  <c r="H168" i="13" s="1"/>
  <c r="AK56" i="13"/>
  <c r="AJ61" i="13" a="1"/>
  <c r="AJ61" i="13" s="1"/>
  <c r="AJ63" i="13" s="1"/>
  <c r="AJ272" i="13" a="1"/>
  <c r="AJ272" i="13" s="1"/>
  <c r="AJ274" i="13" s="1"/>
  <c r="AK267" i="13"/>
  <c r="AL166" i="13" a="1"/>
  <c r="AL166" i="13" s="1"/>
  <c r="AL168" i="13" s="1"/>
  <c r="AM161" i="13"/>
  <c r="AM166" i="13" s="1" a="1"/>
  <c r="AM166" i="13" s="1"/>
  <c r="AM168" i="13" s="1"/>
  <c r="Y211" i="13" l="1"/>
  <c r="X216" i="13" a="1"/>
  <c r="X216" i="13" s="1"/>
  <c r="X218" i="13" s="1"/>
  <c r="U139" i="13"/>
  <c r="T144" i="13" a="1"/>
  <c r="T144" i="13" s="1"/>
  <c r="T146" i="13" s="1"/>
  <c r="O244" i="13"/>
  <c r="N249" i="13" a="1"/>
  <c r="N249" i="13" s="1"/>
  <c r="N251" i="13" s="1"/>
  <c r="U33" i="13"/>
  <c r="T38" i="13" a="1"/>
  <c r="T38" i="13" s="1"/>
  <c r="T40" i="13" s="1"/>
  <c r="S194" i="13" a="1"/>
  <c r="S194" i="13" s="1"/>
  <c r="S196" i="13" s="1"/>
  <c r="T189" i="13"/>
  <c r="M322" i="13" a="1"/>
  <c r="M322" i="13" s="1"/>
  <c r="M324" i="13" s="1"/>
  <c r="N317" i="13"/>
  <c r="R89" i="13" a="1"/>
  <c r="R89" i="13" s="1"/>
  <c r="R91" i="13" s="1"/>
  <c r="S84" i="13"/>
  <c r="V111" i="13" a="1"/>
  <c r="V111" i="13" s="1"/>
  <c r="V113" i="13" s="1"/>
  <c r="W106" i="13"/>
  <c r="J295" i="13"/>
  <c r="J300" i="13" s="1" a="1"/>
  <c r="J300" i="13" s="1"/>
  <c r="J302" i="13" s="1"/>
  <c r="F167" i="13"/>
  <c r="E53" i="14" s="1"/>
  <c r="AL267" i="13"/>
  <c r="AK272" i="13" a="1"/>
  <c r="AK272" i="13" s="1"/>
  <c r="AK61" i="13" a="1"/>
  <c r="AK61" i="13" s="1"/>
  <c r="AL56" i="13"/>
  <c r="Z211" i="13" l="1"/>
  <c r="Y216" i="13" a="1"/>
  <c r="Y216" i="13" s="1"/>
  <c r="Y218" i="13" s="1"/>
  <c r="V139" i="13"/>
  <c r="U144" i="13" a="1"/>
  <c r="U144" i="13" s="1"/>
  <c r="U146" i="13" s="1"/>
  <c r="U189" i="13"/>
  <c r="T194" i="13" a="1"/>
  <c r="T194" i="13" s="1"/>
  <c r="T196" i="13" s="1"/>
  <c r="U38" i="13" a="1"/>
  <c r="U38" i="13" s="1"/>
  <c r="U40" i="13" s="1"/>
  <c r="V33" i="13"/>
  <c r="P244" i="13"/>
  <c r="O249" i="13" a="1"/>
  <c r="O249" i="13" s="1"/>
  <c r="O251" i="13" s="1"/>
  <c r="K295" i="13"/>
  <c r="W111" i="13" a="1"/>
  <c r="W111" i="13" s="1"/>
  <c r="W113" i="13" s="1"/>
  <c r="X106" i="13"/>
  <c r="T84" i="13"/>
  <c r="S89" i="13" a="1"/>
  <c r="S89" i="13" s="1"/>
  <c r="S91" i="13" s="1"/>
  <c r="N322" i="13" a="1"/>
  <c r="N322" i="13" s="1"/>
  <c r="N324" i="13" s="1"/>
  <c r="O317" i="13"/>
  <c r="AK274" i="13"/>
  <c r="H274" i="13" s="1"/>
  <c r="AK63" i="13"/>
  <c r="H63" i="13" s="1"/>
  <c r="AL61" i="13" a="1"/>
  <c r="AL61" i="13" s="1"/>
  <c r="AL63" i="13" s="1"/>
  <c r="AM56" i="13"/>
  <c r="AM61" i="13" s="1" a="1"/>
  <c r="AM61" i="13" s="1"/>
  <c r="AM63" i="13" s="1"/>
  <c r="AL272" i="13" a="1"/>
  <c r="AL272" i="13" s="1"/>
  <c r="AL274" i="13" s="1"/>
  <c r="AM267" i="13"/>
  <c r="AM272" i="13" s="1" a="1"/>
  <c r="AM272" i="13" s="1"/>
  <c r="AM274" i="13" s="1"/>
  <c r="AA211" i="13" l="1"/>
  <c r="Z216" i="13" a="1"/>
  <c r="Z216" i="13" s="1"/>
  <c r="Z218" i="13" s="1"/>
  <c r="V144" i="13" a="1"/>
  <c r="V144" i="13" s="1"/>
  <c r="V146" i="13" s="1"/>
  <c r="W139" i="13"/>
  <c r="P249" i="13" a="1"/>
  <c r="P249" i="13" s="1"/>
  <c r="P251" i="13" s="1"/>
  <c r="Q244" i="13"/>
  <c r="V38" i="13" a="1"/>
  <c r="V38" i="13" s="1"/>
  <c r="V40" i="13" s="1"/>
  <c r="W33" i="13"/>
  <c r="V189" i="13"/>
  <c r="U194" i="13" a="1"/>
  <c r="U194" i="13" s="1"/>
  <c r="U196" i="13" s="1"/>
  <c r="T89" i="13" a="1"/>
  <c r="T89" i="13" s="1"/>
  <c r="T91" i="13" s="1"/>
  <c r="U84" i="13"/>
  <c r="O322" i="13" a="1"/>
  <c r="O322" i="13" s="1"/>
  <c r="O324" i="13" s="1"/>
  <c r="P317" i="13"/>
  <c r="Y106" i="13"/>
  <c r="X111" i="13" a="1"/>
  <c r="X111" i="13" s="1"/>
  <c r="X113" i="13" s="1"/>
  <c r="K300" i="13" a="1"/>
  <c r="K300" i="13" s="1"/>
  <c r="K302" i="13" s="1"/>
  <c r="L295" i="13"/>
  <c r="F273" i="13"/>
  <c r="E54" i="14" s="1"/>
  <c r="F62" i="13"/>
  <c r="E52" i="14" s="1"/>
  <c r="AA216" i="13" l="1" a="1"/>
  <c r="AA216" i="13" s="1"/>
  <c r="AA218" i="13" s="1"/>
  <c r="AB211" i="13"/>
  <c r="X139" i="13"/>
  <c r="W144" i="13" a="1"/>
  <c r="W144" i="13" s="1"/>
  <c r="W146" i="13" s="1"/>
  <c r="X33" i="13"/>
  <c r="W38" i="13" a="1"/>
  <c r="W38" i="13" s="1"/>
  <c r="W40" i="13" s="1"/>
  <c r="Q249" i="13" a="1"/>
  <c r="Q249" i="13" s="1"/>
  <c r="Q251" i="13" s="1"/>
  <c r="R244" i="13"/>
  <c r="W189" i="13"/>
  <c r="V194" i="13" a="1"/>
  <c r="V194" i="13" s="1"/>
  <c r="V196" i="13" s="1"/>
  <c r="Y111" i="13" a="1"/>
  <c r="Y111" i="13" s="1"/>
  <c r="Y113" i="13" s="1"/>
  <c r="Z106" i="13"/>
  <c r="L300" i="13" a="1"/>
  <c r="L300" i="13" s="1"/>
  <c r="L302" i="13" s="1"/>
  <c r="M295" i="13"/>
  <c r="U89" i="13" a="1"/>
  <c r="U89" i="13" s="1"/>
  <c r="U91" i="13" s="1"/>
  <c r="V84" i="13"/>
  <c r="Q317" i="13"/>
  <c r="P322" i="13" a="1"/>
  <c r="P322" i="13" s="1"/>
  <c r="P324" i="13" s="1"/>
  <c r="AC211" i="13" l="1"/>
  <c r="AB216" i="13" a="1"/>
  <c r="AB216" i="13" s="1"/>
  <c r="AB218" i="13" s="1"/>
  <c r="X144" i="13" a="1"/>
  <c r="X144" i="13" s="1"/>
  <c r="X146" i="13" s="1"/>
  <c r="Y139" i="13"/>
  <c r="X189" i="13"/>
  <c r="W194" i="13" a="1"/>
  <c r="W194" i="13" s="1"/>
  <c r="W196" i="13" s="1"/>
  <c r="S244" i="13"/>
  <c r="R249" i="13" a="1"/>
  <c r="R249" i="13" s="1"/>
  <c r="R251" i="13" s="1"/>
  <c r="X38" i="13" a="1"/>
  <c r="X38" i="13" s="1"/>
  <c r="X40" i="13" s="1"/>
  <c r="Y33" i="13"/>
  <c r="M300" i="13" a="1"/>
  <c r="M300" i="13" s="1"/>
  <c r="M302" i="13" s="1"/>
  <c r="N295" i="13"/>
  <c r="V89" i="13" a="1"/>
  <c r="V89" i="13" s="1"/>
  <c r="V91" i="13" s="1"/>
  <c r="W84" i="13"/>
  <c r="Q322" i="13" a="1"/>
  <c r="Q322" i="13" s="1"/>
  <c r="Q324" i="13" s="1"/>
  <c r="R317" i="13"/>
  <c r="Z111" i="13" a="1"/>
  <c r="Z111" i="13" s="1"/>
  <c r="Z113" i="13" s="1"/>
  <c r="AA106" i="13"/>
  <c r="AD211" i="13" l="1"/>
  <c r="AC216" i="13" a="1"/>
  <c r="AC216" i="13" s="1"/>
  <c r="AC218" i="13" s="1"/>
  <c r="Y144" i="13" a="1"/>
  <c r="Y144" i="13" s="1"/>
  <c r="Y146" i="13" s="1"/>
  <c r="Z139" i="13"/>
  <c r="Y38" i="13" a="1"/>
  <c r="Y38" i="13" s="1"/>
  <c r="Y40" i="13" s="1"/>
  <c r="Z33" i="13"/>
  <c r="T244" i="13"/>
  <c r="S249" i="13" a="1"/>
  <c r="S249" i="13" s="1"/>
  <c r="S251" i="13" s="1"/>
  <c r="X194" i="13" a="1"/>
  <c r="X194" i="13" s="1"/>
  <c r="X196" i="13" s="1"/>
  <c r="Y189" i="13"/>
  <c r="X84" i="13"/>
  <c r="W89" i="13" a="1"/>
  <c r="W89" i="13" s="1"/>
  <c r="W91" i="13" s="1"/>
  <c r="R322" i="13" a="1"/>
  <c r="R322" i="13" s="1"/>
  <c r="R324" i="13" s="1"/>
  <c r="S317" i="13"/>
  <c r="AA111" i="13" a="1"/>
  <c r="AA111" i="13" s="1"/>
  <c r="AA113" i="13" s="1"/>
  <c r="AB106" i="13"/>
  <c r="N300" i="13" a="1"/>
  <c r="N300" i="13" s="1"/>
  <c r="N302" i="13" s="1"/>
  <c r="O295" i="13"/>
  <c r="AD216" i="13" l="1" a="1"/>
  <c r="AD216" i="13" s="1"/>
  <c r="AD218" i="13" s="1"/>
  <c r="AE211" i="13"/>
  <c r="Z144" i="13" a="1"/>
  <c r="Z144" i="13" s="1"/>
  <c r="Z146" i="13" s="1"/>
  <c r="AA139" i="13"/>
  <c r="Y194" i="13" a="1"/>
  <c r="Y194" i="13" s="1"/>
  <c r="Y196" i="13" s="1"/>
  <c r="Z189" i="13"/>
  <c r="T249" i="13" a="1"/>
  <c r="T249" i="13" s="1"/>
  <c r="T251" i="13" s="1"/>
  <c r="U244" i="13"/>
  <c r="AA33" i="13"/>
  <c r="Z38" i="13" a="1"/>
  <c r="Z38" i="13" s="1"/>
  <c r="Z40" i="13" s="1"/>
  <c r="AB111" i="13" a="1"/>
  <c r="AB111" i="13" s="1"/>
  <c r="AB113" i="13" s="1"/>
  <c r="AC106" i="13"/>
  <c r="S322" i="13" a="1"/>
  <c r="S322" i="13" s="1"/>
  <c r="S324" i="13" s="1"/>
  <c r="T317" i="13"/>
  <c r="P295" i="13"/>
  <c r="O300" i="13" a="1"/>
  <c r="O300" i="13" s="1"/>
  <c r="O302" i="13" s="1"/>
  <c r="Y84" i="13"/>
  <c r="X89" i="13" a="1"/>
  <c r="X89" i="13" s="1"/>
  <c r="X91" i="13" s="1"/>
  <c r="AE216" i="13" l="1" a="1"/>
  <c r="AE216" i="13" s="1"/>
  <c r="AE218" i="13" s="1"/>
  <c r="AF211" i="13"/>
  <c r="AA144" i="13" a="1"/>
  <c r="AA144" i="13" s="1"/>
  <c r="AA146" i="13" s="1"/>
  <c r="AB139" i="13"/>
  <c r="AA189" i="13"/>
  <c r="Z194" i="13" a="1"/>
  <c r="Z194" i="13" s="1"/>
  <c r="Z196" i="13" s="1"/>
  <c r="AA38" i="13" a="1"/>
  <c r="AA38" i="13" s="1"/>
  <c r="AA40" i="13" s="1"/>
  <c r="AB33" i="13"/>
  <c r="U249" i="13" a="1"/>
  <c r="U249" i="13" s="1"/>
  <c r="U251" i="13" s="1"/>
  <c r="V244" i="13"/>
  <c r="P300" i="13" a="1"/>
  <c r="P300" i="13" s="1"/>
  <c r="P302" i="13" s="1"/>
  <c r="Q295" i="13"/>
  <c r="U317" i="13"/>
  <c r="T322" i="13" a="1"/>
  <c r="T322" i="13" s="1"/>
  <c r="T324" i="13" s="1"/>
  <c r="Z84" i="13"/>
  <c r="Y89" i="13" a="1"/>
  <c r="Y89" i="13" s="1"/>
  <c r="Y91" i="13" s="1"/>
  <c r="AC111" i="13" a="1"/>
  <c r="AC111" i="13" s="1"/>
  <c r="AC113" i="13" s="1"/>
  <c r="AD106" i="13"/>
  <c r="AG211" i="13" l="1"/>
  <c r="AF216" i="13" a="1"/>
  <c r="AF216" i="13" s="1"/>
  <c r="AF218" i="13" s="1"/>
  <c r="AB144" i="13" a="1"/>
  <c r="AB144" i="13" s="1"/>
  <c r="AB146" i="13" s="1"/>
  <c r="AC139" i="13"/>
  <c r="V249" i="13" a="1"/>
  <c r="V249" i="13" s="1"/>
  <c r="V251" i="13" s="1"/>
  <c r="W244" i="13"/>
  <c r="AC33" i="13"/>
  <c r="AB38" i="13" a="1"/>
  <c r="AB38" i="13" s="1"/>
  <c r="AB40" i="13" s="1"/>
  <c r="AA194" i="13" a="1"/>
  <c r="AA194" i="13" s="1"/>
  <c r="AA196" i="13" s="1"/>
  <c r="AB189" i="13"/>
  <c r="Z89" i="13" a="1"/>
  <c r="Z89" i="13" s="1"/>
  <c r="Z91" i="13" s="1"/>
  <c r="AA84" i="13"/>
  <c r="U322" i="13" a="1"/>
  <c r="U322" i="13" s="1"/>
  <c r="U324" i="13" s="1"/>
  <c r="V317" i="13"/>
  <c r="AD111" i="13" a="1"/>
  <c r="AD111" i="13" s="1"/>
  <c r="AD113" i="13" s="1"/>
  <c r="AE106" i="13"/>
  <c r="Q300" i="13" a="1"/>
  <c r="Q300" i="13" s="1"/>
  <c r="Q302" i="13" s="1"/>
  <c r="R295" i="13"/>
  <c r="AH211" i="13" l="1"/>
  <c r="AG216" i="13" a="1"/>
  <c r="AG216" i="13" s="1"/>
  <c r="AG218" i="13" s="1"/>
  <c r="AD139" i="13"/>
  <c r="AC144" i="13" a="1"/>
  <c r="AC144" i="13" s="1"/>
  <c r="AC146" i="13" s="1"/>
  <c r="AC189" i="13"/>
  <c r="AB194" i="13" a="1"/>
  <c r="AB194" i="13" s="1"/>
  <c r="AB196" i="13" s="1"/>
  <c r="AD33" i="13"/>
  <c r="AC38" i="13" a="1"/>
  <c r="AC38" i="13" s="1"/>
  <c r="AC40" i="13" s="1"/>
  <c r="W249" i="13" a="1"/>
  <c r="W249" i="13" s="1"/>
  <c r="W251" i="13" s="1"/>
  <c r="X244" i="13"/>
  <c r="AB84" i="13"/>
  <c r="AA89" i="13" a="1"/>
  <c r="AA89" i="13" s="1"/>
  <c r="AA91" i="13" s="1"/>
  <c r="AE111" i="13" a="1"/>
  <c r="AE111" i="13" s="1"/>
  <c r="AE113" i="13" s="1"/>
  <c r="AF106" i="13"/>
  <c r="R300" i="13" a="1"/>
  <c r="R300" i="13" s="1"/>
  <c r="R302" i="13" s="1"/>
  <c r="S295" i="13"/>
  <c r="W317" i="13"/>
  <c r="V322" i="13" a="1"/>
  <c r="V322" i="13" s="1"/>
  <c r="V324" i="13" s="1"/>
  <c r="AI211" i="13" l="1"/>
  <c r="AH216" i="13" a="1"/>
  <c r="AH216" i="13" s="1"/>
  <c r="AH218" i="13" s="1"/>
  <c r="AE139" i="13"/>
  <c r="AD144" i="13" a="1"/>
  <c r="AD144" i="13" s="1"/>
  <c r="AD146" i="13" s="1"/>
  <c r="X249" i="13" a="1"/>
  <c r="X249" i="13" s="1"/>
  <c r="X251" i="13" s="1"/>
  <c r="Y244" i="13"/>
  <c r="AD38" i="13" a="1"/>
  <c r="AD38" i="13" s="1"/>
  <c r="AD40" i="13" s="1"/>
  <c r="AE33" i="13"/>
  <c r="AC194" i="13" a="1"/>
  <c r="AC194" i="13" s="1"/>
  <c r="AC196" i="13" s="1"/>
  <c r="AD189" i="13"/>
  <c r="S300" i="13" a="1"/>
  <c r="S300" i="13" s="1"/>
  <c r="S302" i="13" s="1"/>
  <c r="T295" i="13"/>
  <c r="AF111" i="13" a="1"/>
  <c r="AF111" i="13" s="1"/>
  <c r="AF113" i="13" s="1"/>
  <c r="AG106" i="13"/>
  <c r="W322" i="13" a="1"/>
  <c r="W322" i="13" s="1"/>
  <c r="W324" i="13" s="1"/>
  <c r="X317" i="13"/>
  <c r="AB89" i="13" a="1"/>
  <c r="AB89" i="13" s="1"/>
  <c r="AB91" i="13" s="1"/>
  <c r="AC84" i="13"/>
  <c r="AI216" i="13" l="1" a="1"/>
  <c r="AI216" i="13" s="1"/>
  <c r="AI218" i="13" s="1"/>
  <c r="AJ211" i="13"/>
  <c r="AE144" i="13" a="1"/>
  <c r="AE144" i="13" s="1"/>
  <c r="AE146" i="13" s="1"/>
  <c r="AF139" i="13"/>
  <c r="AD194" i="13" a="1"/>
  <c r="AD194" i="13" s="1"/>
  <c r="AD196" i="13" s="1"/>
  <c r="AE189" i="13"/>
  <c r="AE38" i="13" a="1"/>
  <c r="AE38" i="13" s="1"/>
  <c r="AE40" i="13" s="1"/>
  <c r="AF33" i="13"/>
  <c r="Y249" i="13" a="1"/>
  <c r="Y249" i="13" s="1"/>
  <c r="Y251" i="13" s="1"/>
  <c r="Z244" i="13"/>
  <c r="X322" i="13" a="1"/>
  <c r="X322" i="13" s="1"/>
  <c r="X324" i="13" s="1"/>
  <c r="Y317" i="13"/>
  <c r="AC89" i="13" a="1"/>
  <c r="AC89" i="13" s="1"/>
  <c r="AC91" i="13" s="1"/>
  <c r="AD84" i="13"/>
  <c r="AG111" i="13" a="1"/>
  <c r="AG111" i="13" s="1"/>
  <c r="AG113" i="13" s="1"/>
  <c r="AH106" i="13"/>
  <c r="T300" i="13" a="1"/>
  <c r="T300" i="13" s="1"/>
  <c r="T302" i="13" s="1"/>
  <c r="U295" i="13"/>
  <c r="AJ216" i="13" l="1" a="1"/>
  <c r="AJ216" i="13" s="1"/>
  <c r="AJ218" i="13" s="1"/>
  <c r="AK211" i="13"/>
  <c r="AG139" i="13"/>
  <c r="AF144" i="13" a="1"/>
  <c r="AF144" i="13" s="1"/>
  <c r="AF146" i="13" s="1"/>
  <c r="Z249" i="13" a="1"/>
  <c r="Z249" i="13" s="1"/>
  <c r="Z251" i="13" s="1"/>
  <c r="AA244" i="13"/>
  <c r="AG33" i="13"/>
  <c r="AF38" i="13" a="1"/>
  <c r="AF38" i="13" s="1"/>
  <c r="AF40" i="13" s="1"/>
  <c r="AE194" i="13" a="1"/>
  <c r="AE194" i="13" s="1"/>
  <c r="AE196" i="13" s="1"/>
  <c r="AF189" i="13"/>
  <c r="V295" i="13"/>
  <c r="U300" i="13" a="1"/>
  <c r="U300" i="13" s="1"/>
  <c r="U302" i="13" s="1"/>
  <c r="AI106" i="13"/>
  <c r="AH111" i="13" a="1"/>
  <c r="AH111" i="13" s="1"/>
  <c r="AH113" i="13" s="1"/>
  <c r="AD89" i="13" a="1"/>
  <c r="AD89" i="13" s="1"/>
  <c r="AD91" i="13" s="1"/>
  <c r="AE84" i="13"/>
  <c r="Z317" i="13"/>
  <c r="Y322" i="13" a="1"/>
  <c r="Y322" i="13" s="1"/>
  <c r="Y324" i="13" s="1"/>
  <c r="AK216" i="13" l="1" a="1"/>
  <c r="AK216" i="13" s="1"/>
  <c r="AK218" i="13" s="1"/>
  <c r="H218" i="13" s="1"/>
  <c r="F217" i="13" s="1"/>
  <c r="G53" i="14" s="1"/>
  <c r="AL211" i="13"/>
  <c r="AH139" i="13"/>
  <c r="AG144" i="13" a="1"/>
  <c r="AG144" i="13" s="1"/>
  <c r="AG146" i="13" s="1"/>
  <c r="AF194" i="13" a="1"/>
  <c r="AF194" i="13" s="1"/>
  <c r="AF196" i="13" s="1"/>
  <c r="AG189" i="13"/>
  <c r="AH33" i="13"/>
  <c r="AG38" i="13" a="1"/>
  <c r="AG38" i="13" s="1"/>
  <c r="AG40" i="13" s="1"/>
  <c r="AA249" i="13" a="1"/>
  <c r="AA249" i="13" s="1"/>
  <c r="AA251" i="13" s="1"/>
  <c r="AB244" i="13"/>
  <c r="AE89" i="13" a="1"/>
  <c r="AE89" i="13" s="1"/>
  <c r="AE91" i="13" s="1"/>
  <c r="AF84" i="13"/>
  <c r="AJ106" i="13"/>
  <c r="AI111" i="13" a="1"/>
  <c r="AI111" i="13" s="1"/>
  <c r="AI113" i="13" s="1"/>
  <c r="Z322" i="13" a="1"/>
  <c r="Z322" i="13" s="1"/>
  <c r="Z324" i="13" s="1"/>
  <c r="AA317" i="13"/>
  <c r="W295" i="13"/>
  <c r="V300" i="13" a="1"/>
  <c r="V300" i="13" s="1"/>
  <c r="V302" i="13" s="1"/>
  <c r="AL216" i="13" l="1" a="1"/>
  <c r="AL216" i="13" s="1"/>
  <c r="AL218" i="13" s="1"/>
  <c r="AM211" i="13"/>
  <c r="AM216" i="13" s="1" a="1"/>
  <c r="AM216" i="13" s="1"/>
  <c r="AM218" i="13" s="1"/>
  <c r="AH144" i="13" a="1"/>
  <c r="AH144" i="13" s="1"/>
  <c r="AH146" i="13" s="1"/>
  <c r="AI139" i="13"/>
  <c r="AB249" i="13" a="1"/>
  <c r="AB249" i="13" s="1"/>
  <c r="AB251" i="13" s="1"/>
  <c r="AC244" i="13"/>
  <c r="AI33" i="13"/>
  <c r="AH38" i="13" a="1"/>
  <c r="AH38" i="13" s="1"/>
  <c r="AH40" i="13" s="1"/>
  <c r="AG194" i="13" a="1"/>
  <c r="AG194" i="13" s="1"/>
  <c r="AG196" i="13" s="1"/>
  <c r="AH189" i="13"/>
  <c r="AB317" i="13"/>
  <c r="AA322" i="13" a="1"/>
  <c r="AA322" i="13" s="1"/>
  <c r="AA324" i="13" s="1"/>
  <c r="AF89" i="13" a="1"/>
  <c r="AF89" i="13" s="1"/>
  <c r="AF91" i="13" s="1"/>
  <c r="AG84" i="13"/>
  <c r="AJ111" i="13" a="1"/>
  <c r="AJ111" i="13" s="1"/>
  <c r="AJ113" i="13" s="1"/>
  <c r="AK106" i="13"/>
  <c r="W300" i="13" a="1"/>
  <c r="W300" i="13" s="1"/>
  <c r="W302" i="13" s="1"/>
  <c r="X295" i="13"/>
  <c r="AI144" i="13" l="1" a="1"/>
  <c r="AI144" i="13" s="1"/>
  <c r="AI146" i="13" s="1"/>
  <c r="AJ139" i="13"/>
  <c r="AI38" i="13" a="1"/>
  <c r="AI38" i="13" s="1"/>
  <c r="AI40" i="13" s="1"/>
  <c r="AJ33" i="13"/>
  <c r="AC249" i="13" a="1"/>
  <c r="AC249" i="13" s="1"/>
  <c r="AC251" i="13" s="1"/>
  <c r="AD244" i="13"/>
  <c r="AI189" i="13"/>
  <c r="AH194" i="13" a="1"/>
  <c r="AH194" i="13" s="1"/>
  <c r="AH196" i="13" s="1"/>
  <c r="AK111" i="13" a="1"/>
  <c r="AK111" i="13" s="1"/>
  <c r="AK113" i="13" s="1"/>
  <c r="H113" i="13" s="1"/>
  <c r="AL106" i="13"/>
  <c r="X300" i="13" a="1"/>
  <c r="X300" i="13" s="1"/>
  <c r="X302" i="13" s="1"/>
  <c r="Y295" i="13"/>
  <c r="AG89" i="13" a="1"/>
  <c r="AG89" i="13" s="1"/>
  <c r="AG91" i="13" s="1"/>
  <c r="AH84" i="13"/>
  <c r="AC317" i="13"/>
  <c r="AB322" i="13" a="1"/>
  <c r="AB322" i="13" s="1"/>
  <c r="AB324" i="13" s="1"/>
  <c r="AK139" i="13" l="1"/>
  <c r="AJ144" i="13" a="1"/>
  <c r="AJ144" i="13" s="1"/>
  <c r="AJ146" i="13" s="1"/>
  <c r="AJ189" i="13"/>
  <c r="AI194" i="13" a="1"/>
  <c r="AI194" i="13" s="1"/>
  <c r="AI196" i="13" s="1"/>
  <c r="AE244" i="13"/>
  <c r="AD249" i="13" a="1"/>
  <c r="AD249" i="13" s="1"/>
  <c r="AD251" i="13" s="1"/>
  <c r="AK33" i="13"/>
  <c r="AJ38" i="13" a="1"/>
  <c r="AJ38" i="13" s="1"/>
  <c r="AJ40" i="13" s="1"/>
  <c r="AI84" i="13"/>
  <c r="AH89" i="13" a="1"/>
  <c r="AH89" i="13" s="1"/>
  <c r="AH91" i="13" s="1"/>
  <c r="Y300" i="13" a="1"/>
  <c r="Y300" i="13" s="1"/>
  <c r="Y302" i="13" s="1"/>
  <c r="Z295" i="13"/>
  <c r="AM106" i="13"/>
  <c r="AM111" i="13" s="1" a="1"/>
  <c r="AM111" i="13" s="1"/>
  <c r="AM113" i="13" s="1"/>
  <c r="AL111" i="13" a="1"/>
  <c r="AL111" i="13" s="1"/>
  <c r="AL113" i="13" s="1"/>
  <c r="AC322" i="13" a="1"/>
  <c r="AC322" i="13" s="1"/>
  <c r="AC324" i="13" s="1"/>
  <c r="AD317" i="13"/>
  <c r="F112" i="13"/>
  <c r="G52" i="14" s="1"/>
  <c r="AK144" i="13" l="1" a="1"/>
  <c r="AK144" i="13" s="1"/>
  <c r="AK146" i="13" s="1"/>
  <c r="H146" i="13" s="1"/>
  <c r="AL139" i="13"/>
  <c r="AK38" i="13" a="1"/>
  <c r="AK38" i="13" s="1"/>
  <c r="AK40" i="13" s="1"/>
  <c r="H40" i="13" s="1"/>
  <c r="AL33" i="13"/>
  <c r="AF244" i="13"/>
  <c r="AE249" i="13" a="1"/>
  <c r="AE249" i="13" s="1"/>
  <c r="AE251" i="13" s="1"/>
  <c r="AJ194" i="13" a="1"/>
  <c r="AJ194" i="13" s="1"/>
  <c r="AJ196" i="13" s="1"/>
  <c r="AK189" i="13"/>
  <c r="Z300" i="13" a="1"/>
  <c r="Z300" i="13" s="1"/>
  <c r="Z302" i="13" s="1"/>
  <c r="AA295" i="13"/>
  <c r="AD322" i="13" a="1"/>
  <c r="AD322" i="13" s="1"/>
  <c r="AD324" i="13" s="1"/>
  <c r="AE317" i="13"/>
  <c r="AJ84" i="13"/>
  <c r="AI89" i="13" a="1"/>
  <c r="AI89" i="13" s="1"/>
  <c r="AI91" i="13" s="1"/>
  <c r="AM139" i="13" l="1"/>
  <c r="AM144" i="13" s="1" a="1"/>
  <c r="AM144" i="13" s="1"/>
  <c r="AM146" i="13" s="1"/>
  <c r="AL144" i="13" a="1"/>
  <c r="AL144" i="13" s="1"/>
  <c r="AL146" i="13" s="1"/>
  <c r="H128" i="13"/>
  <c r="H130" i="13" s="1"/>
  <c r="H124" i="13" s="1"/>
  <c r="H12" i="13" s="1"/>
  <c r="E34" i="14" s="1"/>
  <c r="F145" i="13"/>
  <c r="F53" i="14" s="1"/>
  <c r="AF249" i="13" a="1"/>
  <c r="AF249" i="13" s="1"/>
  <c r="AF251" i="13" s="1"/>
  <c r="AG244" i="13"/>
  <c r="AK194" i="13" a="1"/>
  <c r="AK194" i="13" s="1"/>
  <c r="AK196" i="13" s="1"/>
  <c r="H196" i="13" s="1"/>
  <c r="AL189" i="13"/>
  <c r="AM33" i="13"/>
  <c r="AM38" i="13" s="1" a="1"/>
  <c r="AM38" i="13" s="1"/>
  <c r="AM40" i="13" s="1"/>
  <c r="AL38" i="13" a="1"/>
  <c r="AL38" i="13" s="1"/>
  <c r="AL40" i="13" s="1"/>
  <c r="F39" i="13"/>
  <c r="F52" i="14" s="1"/>
  <c r="H22" i="13"/>
  <c r="H24" i="13" s="1"/>
  <c r="H18" i="13" s="1"/>
  <c r="H11" i="13" s="1"/>
  <c r="E33" i="14" s="1"/>
  <c r="AB295" i="13"/>
  <c r="AA300" i="13" a="1"/>
  <c r="AA300" i="13" s="1"/>
  <c r="AA302" i="13" s="1"/>
  <c r="AK84" i="13"/>
  <c r="AJ89" i="13" a="1"/>
  <c r="AJ89" i="13" s="1"/>
  <c r="AJ91" i="13" s="1"/>
  <c r="AE322" i="13" a="1"/>
  <c r="AE322" i="13" s="1"/>
  <c r="AE324" i="13" s="1"/>
  <c r="AF317" i="13"/>
  <c r="AL194" i="13" l="1" a="1"/>
  <c r="AL194" i="13" s="1"/>
  <c r="AL196" i="13" s="1"/>
  <c r="AM189" i="13"/>
  <c r="AM194" i="13" s="1" a="1"/>
  <c r="AM194" i="13" s="1"/>
  <c r="AM196" i="13" s="1"/>
  <c r="F195" i="13"/>
  <c r="H178" i="13"/>
  <c r="H180" i="13" s="1"/>
  <c r="I124" i="13" s="1"/>
  <c r="I12" i="13" s="1"/>
  <c r="F34" i="14" s="1"/>
  <c r="D34" i="14" s="1"/>
  <c r="AG249" i="13" a="1"/>
  <c r="AG249" i="13" s="1"/>
  <c r="AG251" i="13" s="1"/>
  <c r="AH244" i="13"/>
  <c r="AF322" i="13" a="1"/>
  <c r="AF322" i="13" s="1"/>
  <c r="AF324" i="13" s="1"/>
  <c r="AG317" i="13"/>
  <c r="AK89" i="13" a="1"/>
  <c r="AK89" i="13" s="1"/>
  <c r="AK91" i="13" s="1"/>
  <c r="H91" i="13" s="1"/>
  <c r="AL84" i="13"/>
  <c r="AB300" i="13" a="1"/>
  <c r="AB300" i="13" s="1"/>
  <c r="AB302" i="13" s="1"/>
  <c r="AC295" i="13"/>
  <c r="G21" i="17" l="1"/>
  <c r="G23" i="17" s="1"/>
  <c r="N21" i="17"/>
  <c r="N23" i="17" s="1"/>
  <c r="N34" i="17" s="1"/>
  <c r="AG21" i="17"/>
  <c r="AG23" i="17" s="1"/>
  <c r="AG34" i="17" s="1"/>
  <c r="K21" i="17"/>
  <c r="K23" i="17" s="1"/>
  <c r="K34" i="17" s="1"/>
  <c r="L21" i="17"/>
  <c r="L23" i="17" s="1"/>
  <c r="L34" i="17" s="1"/>
  <c r="I21" i="17"/>
  <c r="I23" i="17" s="1"/>
  <c r="I34" i="17" s="1"/>
  <c r="T21" i="17"/>
  <c r="T23" i="17" s="1"/>
  <c r="T34" i="17" s="1"/>
  <c r="S21" i="17"/>
  <c r="S23" i="17" s="1"/>
  <c r="S34" i="17" s="1"/>
  <c r="H21" i="17"/>
  <c r="H23" i="17" s="1"/>
  <c r="H34" i="17" s="1"/>
  <c r="AB21" i="17"/>
  <c r="AB23" i="17" s="1"/>
  <c r="AB34" i="17" s="1"/>
  <c r="AI21" i="17"/>
  <c r="AI23" i="17" s="1"/>
  <c r="AI34" i="17" s="1"/>
  <c r="AE21" i="17"/>
  <c r="AE23" i="17" s="1"/>
  <c r="AE34" i="17" s="1"/>
  <c r="W21" i="17"/>
  <c r="W23" i="17" s="1"/>
  <c r="W34" i="17" s="1"/>
  <c r="P21" i="17"/>
  <c r="P23" i="17" s="1"/>
  <c r="P34" i="17" s="1"/>
  <c r="AA21" i="17"/>
  <c r="AA23" i="17" s="1"/>
  <c r="AA34" i="17" s="1"/>
  <c r="Y21" i="17"/>
  <c r="Y23" i="17" s="1"/>
  <c r="Y34" i="17" s="1"/>
  <c r="R21" i="17"/>
  <c r="R23" i="17" s="1"/>
  <c r="R34" i="17" s="1"/>
  <c r="Q21" i="17"/>
  <c r="Q23" i="17" s="1"/>
  <c r="Q34" i="17" s="1"/>
  <c r="AF21" i="17"/>
  <c r="AF23" i="17" s="1"/>
  <c r="AF34" i="17" s="1"/>
  <c r="U21" i="17"/>
  <c r="U23" i="17" s="1"/>
  <c r="U34" i="17" s="1"/>
  <c r="O21" i="17"/>
  <c r="O23" i="17" s="1"/>
  <c r="O34" i="17" s="1"/>
  <c r="AC21" i="17"/>
  <c r="AC23" i="17" s="1"/>
  <c r="AC34" i="17" s="1"/>
  <c r="J21" i="17"/>
  <c r="J23" i="17" s="1"/>
  <c r="J34" i="17" s="1"/>
  <c r="AD21" i="17"/>
  <c r="AD23" i="17" s="1"/>
  <c r="AD34" i="17" s="1"/>
  <c r="Z21" i="17"/>
  <c r="Z23" i="17" s="1"/>
  <c r="Z34" i="17" s="1"/>
  <c r="AH21" i="17"/>
  <c r="AH23" i="17" s="1"/>
  <c r="AH34" i="17" s="1"/>
  <c r="AJ21" i="17"/>
  <c r="AJ23" i="17" s="1"/>
  <c r="AJ34" i="17" s="1"/>
  <c r="M21" i="17"/>
  <c r="M23" i="17" s="1"/>
  <c r="M34" i="17" s="1"/>
  <c r="V21" i="17"/>
  <c r="V23" i="17" s="1"/>
  <c r="V34" i="17" s="1"/>
  <c r="X21" i="17"/>
  <c r="X23" i="17" s="1"/>
  <c r="X34" i="17" s="1"/>
  <c r="AI244" i="13"/>
  <c r="AH249" i="13" a="1"/>
  <c r="AH249" i="13" s="1"/>
  <c r="AH251" i="13" s="1"/>
  <c r="AC300" i="13" a="1"/>
  <c r="AC300" i="13" s="1"/>
  <c r="AC302" i="13" s="1"/>
  <c r="AD295" i="13"/>
  <c r="AM84" i="13"/>
  <c r="AM89" i="13" s="1" a="1"/>
  <c r="AM89" i="13" s="1"/>
  <c r="AM91" i="13" s="1"/>
  <c r="AL89" i="13" a="1"/>
  <c r="AL89" i="13" s="1"/>
  <c r="AL91" i="13" s="1"/>
  <c r="F90" i="13"/>
  <c r="H73" i="13"/>
  <c r="H75" i="13" s="1"/>
  <c r="I18" i="13" s="1"/>
  <c r="I11" i="13" s="1"/>
  <c r="F33" i="14" s="1"/>
  <c r="D33" i="14" s="1"/>
  <c r="G15" i="17" s="1"/>
  <c r="AG322" i="13" a="1"/>
  <c r="AG322" i="13" s="1"/>
  <c r="AG324" i="13" s="1"/>
  <c r="AH317" i="13"/>
  <c r="AI249" i="13" l="1" a="1"/>
  <c r="AI249" i="13" s="1"/>
  <c r="AI251" i="13" s="1"/>
  <c r="AJ244" i="13"/>
  <c r="G34" i="17"/>
  <c r="E23" i="17"/>
  <c r="AG15" i="17"/>
  <c r="AG17" i="17" s="1"/>
  <c r="AG33" i="17" s="1"/>
  <c r="AD15" i="17"/>
  <c r="AD17" i="17" s="1"/>
  <c r="AD33" i="17" s="1"/>
  <c r="M15" i="17"/>
  <c r="M17" i="17" s="1"/>
  <c r="M33" i="17" s="1"/>
  <c r="S15" i="17"/>
  <c r="S17" i="17" s="1"/>
  <c r="S33" i="17" s="1"/>
  <c r="AC15" i="17"/>
  <c r="AC17" i="17" s="1"/>
  <c r="AC33" i="17" s="1"/>
  <c r="U15" i="17"/>
  <c r="U17" i="17" s="1"/>
  <c r="U33" i="17" s="1"/>
  <c r="G17" i="17"/>
  <c r="V15" i="17"/>
  <c r="V17" i="17" s="1"/>
  <c r="V33" i="17" s="1"/>
  <c r="AA15" i="17"/>
  <c r="AA17" i="17" s="1"/>
  <c r="AA33" i="17" s="1"/>
  <c r="X15" i="17"/>
  <c r="X17" i="17" s="1"/>
  <c r="X33" i="17" s="1"/>
  <c r="N15" i="17"/>
  <c r="N17" i="17" s="1"/>
  <c r="N33" i="17" s="1"/>
  <c r="R15" i="17"/>
  <c r="R17" i="17" s="1"/>
  <c r="R33" i="17" s="1"/>
  <c r="AE15" i="17"/>
  <c r="AE17" i="17" s="1"/>
  <c r="AE33" i="17" s="1"/>
  <c r="Q15" i="17"/>
  <c r="Q17" i="17" s="1"/>
  <c r="Q33" i="17" s="1"/>
  <c r="AJ15" i="17"/>
  <c r="AJ17" i="17" s="1"/>
  <c r="AJ33" i="17" s="1"/>
  <c r="L15" i="17"/>
  <c r="L17" i="17" s="1"/>
  <c r="L33" i="17" s="1"/>
  <c r="AI15" i="17"/>
  <c r="AI17" i="17" s="1"/>
  <c r="AI33" i="17" s="1"/>
  <c r="Y15" i="17"/>
  <c r="Y17" i="17" s="1"/>
  <c r="Y33" i="17" s="1"/>
  <c r="T15" i="17"/>
  <c r="T17" i="17" s="1"/>
  <c r="T33" i="17" s="1"/>
  <c r="W15" i="17"/>
  <c r="W17" i="17" s="1"/>
  <c r="W33" i="17" s="1"/>
  <c r="AB15" i="17"/>
  <c r="AB17" i="17" s="1"/>
  <c r="AB33" i="17" s="1"/>
  <c r="O15" i="17"/>
  <c r="O17" i="17" s="1"/>
  <c r="O33" i="17" s="1"/>
  <c r="Z15" i="17"/>
  <c r="Z17" i="17" s="1"/>
  <c r="Z33" i="17" s="1"/>
  <c r="AH15" i="17"/>
  <c r="AH17" i="17" s="1"/>
  <c r="AH33" i="17" s="1"/>
  <c r="AF15" i="17"/>
  <c r="AF17" i="17" s="1"/>
  <c r="AF33" i="17" s="1"/>
  <c r="K15" i="17"/>
  <c r="K17" i="17" s="1"/>
  <c r="K33" i="17" s="1"/>
  <c r="J15" i="17"/>
  <c r="J17" i="17" s="1"/>
  <c r="J33" i="17" s="1"/>
  <c r="I15" i="17"/>
  <c r="I17" i="17" s="1"/>
  <c r="I33" i="17" s="1"/>
  <c r="P15" i="17"/>
  <c r="P17" i="17" s="1"/>
  <c r="P33" i="17" s="1"/>
  <c r="H15" i="17"/>
  <c r="H17" i="17" s="1"/>
  <c r="H33" i="17" s="1"/>
  <c r="AI317" i="13"/>
  <c r="AH322" i="13" a="1"/>
  <c r="AH322" i="13" s="1"/>
  <c r="AH324" i="13" s="1"/>
  <c r="AD300" i="13" a="1"/>
  <c r="AD300" i="13" s="1"/>
  <c r="AD302" i="13" s="1"/>
  <c r="AE295" i="13"/>
  <c r="AJ249" i="13" l="1" a="1"/>
  <c r="AJ249" i="13" s="1"/>
  <c r="AJ251" i="13" s="1"/>
  <c r="AK244" i="13"/>
  <c r="G33" i="17"/>
  <c r="E17" i="17"/>
  <c r="AE300" i="13" a="1"/>
  <c r="AE300" i="13" s="1"/>
  <c r="AE302" i="13" s="1"/>
  <c r="AF295" i="13"/>
  <c r="AJ317" i="13"/>
  <c r="AI322" i="13" a="1"/>
  <c r="AI322" i="13" s="1"/>
  <c r="AI324" i="13" s="1"/>
  <c r="AL244" i="13" l="1"/>
  <c r="AK249" i="13" a="1"/>
  <c r="AK249" i="13" s="1"/>
  <c r="AK251" i="13" s="1"/>
  <c r="H251" i="13" s="1"/>
  <c r="AJ322" i="13" a="1"/>
  <c r="AJ322" i="13" s="1"/>
  <c r="AJ324" i="13" s="1"/>
  <c r="AK317" i="13"/>
  <c r="AG295" i="13"/>
  <c r="AF300" i="13" a="1"/>
  <c r="AF300" i="13" s="1"/>
  <c r="AF302" i="13" s="1"/>
  <c r="F250" i="13" l="1"/>
  <c r="F54" i="14" s="1"/>
  <c r="H233" i="13"/>
  <c r="H235" i="13" s="1"/>
  <c r="H229" i="13" s="1"/>
  <c r="H13" i="13" s="1"/>
  <c r="E35" i="14" s="1"/>
  <c r="E37" i="14" s="1"/>
  <c r="AM244" i="13"/>
  <c r="AM249" i="13" s="1" a="1"/>
  <c r="AM249" i="13" s="1"/>
  <c r="AM251" i="13" s="1"/>
  <c r="AL249" i="13" a="1"/>
  <c r="AL249" i="13" s="1"/>
  <c r="AL251" i="13" s="1"/>
  <c r="AH295" i="13"/>
  <c r="AG300" i="13" a="1"/>
  <c r="AG300" i="13" s="1"/>
  <c r="AG302" i="13" s="1"/>
  <c r="AL317" i="13"/>
  <c r="AK322" i="13" a="1"/>
  <c r="AK322" i="13" s="1"/>
  <c r="AK324" i="13" s="1"/>
  <c r="H324" i="13" s="1"/>
  <c r="F323" i="13" l="1"/>
  <c r="G54" i="14" s="1"/>
  <c r="AL322" i="13" a="1"/>
  <c r="AL322" i="13" s="1"/>
  <c r="AL324" i="13" s="1"/>
  <c r="AM317" i="13"/>
  <c r="AM322" i="13" s="1" a="1"/>
  <c r="AM322" i="13" s="1"/>
  <c r="AM324" i="13" s="1"/>
  <c r="AH300" i="13" a="1"/>
  <c r="AH300" i="13" s="1"/>
  <c r="AH302" i="13" s="1"/>
  <c r="AI295" i="13"/>
  <c r="AJ295" i="13" l="1"/>
  <c r="AI300" i="13" a="1"/>
  <c r="AI300" i="13" s="1"/>
  <c r="AI302" i="13" s="1"/>
  <c r="AK295" i="13" l="1"/>
  <c r="AJ300" i="13" a="1"/>
  <c r="AJ300" i="13" s="1"/>
  <c r="AJ302" i="13" s="1"/>
  <c r="AK300" i="13" l="1" a="1"/>
  <c r="AK300" i="13" s="1"/>
  <c r="AK302" i="13" s="1"/>
  <c r="H302" i="13" s="1"/>
  <c r="AL295" i="13"/>
  <c r="F301" i="13" l="1"/>
  <c r="H284" i="13"/>
  <c r="H286" i="13" s="1"/>
  <c r="I229" i="13" s="1"/>
  <c r="I13" i="13" s="1"/>
  <c r="F35" i="14" s="1"/>
  <c r="AM295" i="13"/>
  <c r="AM300" i="13" s="1" a="1"/>
  <c r="AM300" i="13" s="1"/>
  <c r="AM302" i="13" s="1"/>
  <c r="AL300" i="13" a="1"/>
  <c r="AL300" i="13" s="1"/>
  <c r="AL302" i="13" s="1"/>
  <c r="F37" i="14" l="1"/>
  <c r="D35" i="14"/>
  <c r="D37" i="14" l="1"/>
  <c r="X27" i="17"/>
  <c r="X29" i="17" s="1"/>
  <c r="X35" i="17" s="1"/>
  <c r="X37" i="17" s="1"/>
  <c r="J27" i="17"/>
  <c r="J29" i="17" s="1"/>
  <c r="J35" i="17" s="1"/>
  <c r="J37" i="17" s="1"/>
  <c r="G27" i="17"/>
  <c r="G29" i="17" s="1"/>
  <c r="I27" i="17"/>
  <c r="I29" i="17" s="1"/>
  <c r="I35" i="17" s="1"/>
  <c r="I37" i="17" s="1"/>
  <c r="P27" i="17"/>
  <c r="P29" i="17" s="1"/>
  <c r="P35" i="17" s="1"/>
  <c r="P37" i="17" s="1"/>
  <c r="M27" i="17"/>
  <c r="M29" i="17" s="1"/>
  <c r="M35" i="17" s="1"/>
  <c r="M37" i="17" s="1"/>
  <c r="S27" i="17"/>
  <c r="S29" i="17" s="1"/>
  <c r="S35" i="17" s="1"/>
  <c r="S37" i="17" s="1"/>
  <c r="Q27" i="17"/>
  <c r="Q29" i="17" s="1"/>
  <c r="Q35" i="17" s="1"/>
  <c r="Q37" i="17" s="1"/>
  <c r="AC27" i="17"/>
  <c r="AC29" i="17" s="1"/>
  <c r="AC35" i="17" s="1"/>
  <c r="AC37" i="17" s="1"/>
  <c r="W27" i="17"/>
  <c r="W29" i="17" s="1"/>
  <c r="W35" i="17" s="1"/>
  <c r="W37" i="17" s="1"/>
  <c r="H27" i="17"/>
  <c r="H29" i="17" s="1"/>
  <c r="H35" i="17" s="1"/>
  <c r="H37" i="17" s="1"/>
  <c r="Y27" i="17"/>
  <c r="Y29" i="17" s="1"/>
  <c r="Y35" i="17" s="1"/>
  <c r="Y37" i="17" s="1"/>
  <c r="AJ27" i="17"/>
  <c r="AJ29" i="17" s="1"/>
  <c r="AJ35" i="17" s="1"/>
  <c r="AJ37" i="17" s="1"/>
  <c r="AD27" i="17"/>
  <c r="AD29" i="17" s="1"/>
  <c r="AD35" i="17" s="1"/>
  <c r="AD37" i="17" s="1"/>
  <c r="AA27" i="17"/>
  <c r="AA29" i="17" s="1"/>
  <c r="AA35" i="17" s="1"/>
  <c r="AA37" i="17" s="1"/>
  <c r="O27" i="17"/>
  <c r="O29" i="17" s="1"/>
  <c r="O35" i="17" s="1"/>
  <c r="O37" i="17" s="1"/>
  <c r="K27" i="17"/>
  <c r="K29" i="17" s="1"/>
  <c r="K35" i="17" s="1"/>
  <c r="K37" i="17" s="1"/>
  <c r="AG27" i="17"/>
  <c r="AG29" i="17" s="1"/>
  <c r="AG35" i="17" s="1"/>
  <c r="AG37" i="17" s="1"/>
  <c r="Z27" i="17"/>
  <c r="Z29" i="17" s="1"/>
  <c r="Z35" i="17" s="1"/>
  <c r="Z37" i="17" s="1"/>
  <c r="AH27" i="17"/>
  <c r="AH29" i="17" s="1"/>
  <c r="AH35" i="17" s="1"/>
  <c r="AH37" i="17" s="1"/>
  <c r="U27" i="17"/>
  <c r="U29" i="17" s="1"/>
  <c r="U35" i="17" s="1"/>
  <c r="U37" i="17" s="1"/>
  <c r="L27" i="17"/>
  <c r="L29" i="17" s="1"/>
  <c r="L35" i="17" s="1"/>
  <c r="L37" i="17" s="1"/>
  <c r="AB27" i="17"/>
  <c r="AB29" i="17" s="1"/>
  <c r="AB35" i="17" s="1"/>
  <c r="AB37" i="17" s="1"/>
  <c r="N27" i="17"/>
  <c r="N29" i="17" s="1"/>
  <c r="N35" i="17" s="1"/>
  <c r="N37" i="17" s="1"/>
  <c r="T27" i="17"/>
  <c r="T29" i="17" s="1"/>
  <c r="T35" i="17" s="1"/>
  <c r="T37" i="17" s="1"/>
  <c r="V27" i="17"/>
  <c r="V29" i="17" s="1"/>
  <c r="V35" i="17" s="1"/>
  <c r="V37" i="17" s="1"/>
  <c r="R27" i="17"/>
  <c r="R29" i="17" s="1"/>
  <c r="R35" i="17" s="1"/>
  <c r="R37" i="17" s="1"/>
  <c r="AE27" i="17"/>
  <c r="AE29" i="17" s="1"/>
  <c r="AE35" i="17" s="1"/>
  <c r="AE37" i="17" s="1"/>
  <c r="AI27" i="17"/>
  <c r="AI29" i="17" s="1"/>
  <c r="AI35" i="17" s="1"/>
  <c r="AI37" i="17" s="1"/>
  <c r="AF27" i="17"/>
  <c r="AF29" i="17" s="1"/>
  <c r="AF35" i="17" s="1"/>
  <c r="AF37" i="17" s="1"/>
  <c r="G35" i="17" l="1"/>
  <c r="E29" i="17"/>
  <c r="G37"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<sst xmlns="http://schemas.openxmlformats.org/spreadsheetml/2006/main" count="662" uniqueCount="180">
  <si>
    <t>Assumptions</t>
  </si>
  <si>
    <t>GL/year</t>
  </si>
  <si>
    <t>Dashboard</t>
  </si>
  <si>
    <t>Discount rate</t>
  </si>
  <si>
    <t>Model timeline</t>
  </si>
  <si>
    <t>First financial year start</t>
  </si>
  <si>
    <t>firstfinyearstart</t>
  </si>
  <si>
    <t>First financial year end</t>
  </si>
  <si>
    <t>firstfinyearend</t>
  </si>
  <si>
    <t>First financial year (ending June 30)</t>
  </si>
  <si>
    <t>ModelFyStart</t>
  </si>
  <si>
    <t>Last financial year (ending June 30)</t>
  </si>
  <si>
    <t>ModelFyEnd</t>
  </si>
  <si>
    <t>Start date</t>
  </si>
  <si>
    <t>End date</t>
  </si>
  <si>
    <t>Days</t>
  </si>
  <si>
    <t>Expenditure</t>
  </si>
  <si>
    <t>discountrate</t>
  </si>
  <si>
    <t>Less than the tipping point</t>
  </si>
  <si>
    <t>Previously passed the tipping point</t>
  </si>
  <si>
    <t>Deferrals</t>
  </si>
  <si>
    <t>Deferral check - without shock volumes</t>
  </si>
  <si>
    <t>Volumes</t>
  </si>
  <si>
    <t>Capital expenditure</t>
  </si>
  <si>
    <t>Operating expenditure</t>
  </si>
  <si>
    <t>Total expenditure</t>
  </si>
  <si>
    <t>NPV</t>
  </si>
  <si>
    <t>LRMC</t>
  </si>
  <si>
    <t>Difference in PV of expenditure</t>
  </si>
  <si>
    <t>Difference in PV of volumes</t>
  </si>
  <si>
    <t>%</t>
  </si>
  <si>
    <t>Global scenario</t>
  </si>
  <si>
    <t>Choose scenarios here</t>
  </si>
  <si>
    <t>Cost sensitivities</t>
  </si>
  <si>
    <t>costsensitivity</t>
  </si>
  <si>
    <t>GL</t>
  </si>
  <si>
    <t xml:space="preserve">Average </t>
  </si>
  <si>
    <t>AIC</t>
  </si>
  <si>
    <t>Turvey</t>
  </si>
  <si>
    <t xml:space="preserve"> LRMC of wastewater management ($FY24/kL)</t>
  </si>
  <si>
    <t>UoM</t>
  </si>
  <si>
    <t>Name</t>
  </si>
  <si>
    <t>Adopted value</t>
  </si>
  <si>
    <t>Low</t>
  </si>
  <si>
    <t>Medium</t>
  </si>
  <si>
    <t>High</t>
  </si>
  <si>
    <t>Source</t>
  </si>
  <si>
    <t>Cost sensitivity</t>
  </si>
  <si>
    <t>Assumptions that vary over time</t>
  </si>
  <si>
    <t>Dollars base year</t>
  </si>
  <si>
    <t>$ base year</t>
  </si>
  <si>
    <t>FY$24</t>
  </si>
  <si>
    <t xml:space="preserve">Source: </t>
  </si>
  <si>
    <t>Future investments</t>
  </si>
  <si>
    <t>Lead Time</t>
  </si>
  <si>
    <t xml:space="preserve"> Asset life</t>
  </si>
  <si>
    <t>Capital Expenditure</t>
  </si>
  <si>
    <t xml:space="preserve">Note: t represents the year in which investment / augmentation begins. </t>
  </si>
  <si>
    <t>t</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</si>
  <si>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</si>
  <si>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</si>
  <si>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</si>
  <si>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</si>
  <si>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</si>
  <si>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</si>
  <si>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</si>
  <si>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</si>
  <si>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</si>
  <si>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</si>
  <si>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</si>
  <si>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</si>
  <si>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</si>
  <si>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</si>
  <si>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</si>
  <si>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</si>
  <si>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</si>
  <si>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</si>
  <si>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</si>
  <si>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</si>
  <si>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</si>
  <si>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</si>
  <si>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</si>
  <si>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</si>
  <si>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</si>
  <si>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</si>
  <si>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</si>
  <si>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</si>
  <si>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</si>
  <si>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</si>
  <si>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Baselinecapex</t>
  </si>
  <si>
    <t xml:space="preserve"> Operating Expenditure</t>
  </si>
  <si>
    <t>Note: t represents the year in which opex begins (e.g. first year after capex / construction is complete)</t>
  </si>
  <si>
    <t>Baselineopex</t>
  </si>
  <si>
    <t>Volume scenarios</t>
  </si>
  <si>
    <t>Baseline volumes</t>
  </si>
  <si>
    <t>Constant volumes</t>
  </si>
  <si>
    <t>Shocked volumes</t>
  </si>
  <si>
    <t>networkvolumes</t>
  </si>
  <si>
    <t>STPvolumes</t>
  </si>
  <si>
    <t>dischargevolumes</t>
  </si>
  <si>
    <t>Network upgrade name</t>
  </si>
  <si>
    <t>Sewerage treatment plant upgrade name</t>
  </si>
  <si>
    <t>Discharge / ocean outfall upgrade name</t>
  </si>
  <si>
    <t>Capacity of existing system (triggers for investment)</t>
  </si>
  <si>
    <t>Shock for Turvey method</t>
  </si>
  <si>
    <t>Capex incl. cost sensitivity</t>
  </si>
  <si>
    <t>Capex Annuities (per year)</t>
  </si>
  <si>
    <t>Capex</t>
  </si>
  <si>
    <t xml:space="preserve">Operating expenditure </t>
  </si>
  <si>
    <t>Augmentation Operating Expenditure (incl. sensitivity)</t>
  </si>
  <si>
    <t>Model count</t>
  </si>
  <si>
    <t>Year start</t>
  </si>
  <si>
    <t>Year end</t>
  </si>
  <si>
    <t>LRMC estimates</t>
  </si>
  <si>
    <t>$/kL</t>
  </si>
  <si>
    <t>No growth in volumes</t>
  </si>
  <si>
    <t>Opex</t>
  </si>
  <si>
    <t>Years since activation</t>
  </si>
  <si>
    <t>Trigger annuity</t>
  </si>
  <si>
    <t>Annuity count</t>
  </si>
  <si>
    <t>Volumes scenario</t>
  </si>
  <si>
    <t>volumesensitivity</t>
  </si>
  <si>
    <t>shocknetwork</t>
  </si>
  <si>
    <t>shockSTP</t>
  </si>
  <si>
    <t>shockdischarge</t>
  </si>
  <si>
    <t>LRMC calculations</t>
  </si>
  <si>
    <t>Higher volumes (Turvey shock)</t>
  </si>
  <si>
    <t>Total across wastewater network</t>
  </si>
  <si>
    <t>Comparison of  timing of augmentation</t>
  </si>
  <si>
    <t>Begin construction</t>
  </si>
  <si>
    <t xml:space="preserve">Forecast growth in volumes </t>
  </si>
  <si>
    <t>$FY24</t>
  </si>
  <si>
    <t>Cumulative Capex Annuities (per year)</t>
  </si>
  <si>
    <t>Application of LRMC</t>
  </si>
  <si>
    <t>Water saved</t>
  </si>
  <si>
    <t>LRMC of water</t>
  </si>
  <si>
    <t>Value of water saved</t>
  </si>
  <si>
    <t>$/kl</t>
  </si>
  <si>
    <t>kl</t>
  </si>
  <si>
    <t xml:space="preserve">Water saved </t>
  </si>
  <si>
    <t>watersavednames</t>
  </si>
  <si>
    <t>watersaved</t>
  </si>
  <si>
    <t xml:space="preserve">LRMC approach </t>
  </si>
  <si>
    <t>$FY24/GL</t>
  </si>
  <si>
    <t>networkexistingcost</t>
  </si>
  <si>
    <t>STPexistingcost</t>
  </si>
  <si>
    <t>dischargeexistingcost</t>
  </si>
  <si>
    <t>Cost of existing system</t>
  </si>
  <si>
    <t>Cost of volumes</t>
  </si>
  <si>
    <t xml:space="preserve">Cost of existing system </t>
  </si>
  <si>
    <t xml:space="preserve">$FY24/GL </t>
  </si>
  <si>
    <t>Total value of saved water volumes</t>
  </si>
  <si>
    <t>Total value of water saved in wastewater network</t>
  </si>
  <si>
    <r>
      <t>·</t>
    </r>
    <r>
      <rPr>
        <sz val="7"/>
        <color theme="1"/>
        <rFont val="Times New Roman"/>
        <family val="1"/>
      </rPr>
      <t xml:space="preserve">         </t>
    </r>
    <r>
      <rPr>
        <b/>
        <sz val="11"/>
        <color theme="1"/>
        <rFont val="Public Sans Light"/>
        <family val="3"/>
      </rPr>
      <t xml:space="preserve">Dashboard </t>
    </r>
    <r>
      <rPr>
        <sz val="11"/>
        <color theme="1"/>
        <rFont val="Public Sans Light"/>
        <family val="3"/>
      </rPr>
      <t>– the dashboard presents the results of the AIC and Turvey methods for calculating LRMC and allows for sensitivity testing.</t>
    </r>
  </si>
  <si>
    <r>
      <t>·</t>
    </r>
    <r>
      <rPr>
        <sz val="7"/>
        <color theme="1"/>
        <rFont val="Times New Roman"/>
        <family val="1"/>
      </rPr>
      <t xml:space="preserve">         </t>
    </r>
    <r>
      <rPr>
        <b/>
        <sz val="11"/>
        <color theme="1"/>
        <rFont val="Public Sans Light"/>
        <family val="3"/>
      </rPr>
      <t xml:space="preserve">Assumptions </t>
    </r>
    <r>
      <rPr>
        <sz val="11"/>
        <color theme="1"/>
        <rFont val="Public Sans Light"/>
        <family val="3"/>
      </rPr>
      <t xml:space="preserve">– the assumptions tab enables users to enter key inputs and underlying assumptions, including asset specific assumptions such as lead time and asset life, and assumptions that vary over time, including estimates of asset yield/capacity and demand.  </t>
    </r>
  </si>
  <si>
    <t>Updating the models involves the following key steps.</t>
  </si>
  <si>
    <r>
      <t>·</t>
    </r>
    <r>
      <rPr>
        <sz val="7"/>
        <color theme="1"/>
        <rFont val="Times New Roman"/>
        <family val="1"/>
      </rPr>
      <t xml:space="preserve">         </t>
    </r>
    <r>
      <rPr>
        <b/>
        <sz val="11"/>
        <color theme="1"/>
        <rFont val="Public Sans Light"/>
        <family val="3"/>
      </rPr>
      <t>Update future investments</t>
    </r>
    <r>
      <rPr>
        <sz val="11"/>
        <color theme="1"/>
        <rFont val="Public Sans Light"/>
        <family val="3"/>
      </rPr>
      <t xml:space="preserve"> in the assumptions tab by</t>
    </r>
    <r>
      <rPr>
        <b/>
        <sz val="11"/>
        <color theme="1"/>
        <rFont val="Public Sans Light"/>
        <family val="3"/>
      </rPr>
      <t>:</t>
    </r>
  </si>
  <si>
    <r>
      <t>·</t>
    </r>
    <r>
      <rPr>
        <sz val="7"/>
        <color theme="1"/>
        <rFont val="Times New Roman"/>
        <family val="1"/>
      </rPr>
      <t xml:space="preserve">         </t>
    </r>
    <r>
      <rPr>
        <b/>
        <sz val="11"/>
        <color theme="1"/>
        <rFont val="Public Sans Light"/>
        <family val="3"/>
      </rPr>
      <t xml:space="preserve">Example - Application of LRMC - </t>
    </r>
    <r>
      <rPr>
        <sz val="11"/>
        <color theme="1"/>
        <rFont val="Public Sans Light"/>
        <family val="3"/>
      </rPr>
      <t>steps through an example application of LRMC.</t>
    </r>
  </si>
  <si>
    <t>Wastewater LRMC model</t>
  </si>
  <si>
    <t>Structure of the wastewater LRMC model</t>
  </si>
  <si>
    <t>The wastewater LRMC model follows the following structure:</t>
  </si>
  <si>
    <r>
      <t>·</t>
    </r>
    <r>
      <rPr>
        <sz val="7"/>
        <color theme="1"/>
        <rFont val="Times New Roman"/>
        <family val="1"/>
      </rPr>
      <t xml:space="preserve">         </t>
    </r>
    <r>
      <rPr>
        <b/>
        <sz val="11"/>
        <color theme="1"/>
        <rFont val="Public Sans Light"/>
        <family val="3"/>
      </rPr>
      <t>Wastewater LRMC</t>
    </r>
    <r>
      <rPr>
        <sz val="11"/>
        <color theme="1"/>
        <rFont val="Public Sans Light"/>
        <family val="3"/>
      </rPr>
      <t xml:space="preserve"> – the LRMC calculation tab provides the methodology and details key steps in calculating LRMC using the AIC and Turvey methods.</t>
    </r>
  </si>
  <si>
    <r>
      <t>·</t>
    </r>
    <r>
      <rPr>
        <sz val="7"/>
        <color theme="1"/>
        <rFont val="Times New Roman"/>
        <family val="1"/>
      </rPr>
      <t xml:space="preserve">         </t>
    </r>
    <r>
      <rPr>
        <b/>
        <sz val="11"/>
        <color theme="1"/>
        <rFont val="Public Sans Light"/>
        <family val="3"/>
      </rPr>
      <t>Expenditure calculations</t>
    </r>
    <r>
      <rPr>
        <sz val="11"/>
        <color theme="1"/>
        <rFont val="Public Sans Light"/>
        <family val="3"/>
      </rPr>
      <t xml:space="preserve"> – the expenditure presents the capital expenditure (including annuities of investments) and operating expenditure over the modelling period.</t>
    </r>
  </si>
  <si>
    <t>As noted in the LRMC guidance, we recommend updating the AIC and Turvey LRMC estimates regularly (ideally once a year or at least as part of the broader long-term water and wastewater system planning processes) to ensure they are based on the best available information and accurately reflect the constraints and opportunities in the bulk, non-bulk and wastewater system.</t>
  </si>
  <si>
    <t>Updating the wastewater LRMC model</t>
  </si>
  <si>
    <t>Format of the model</t>
  </si>
  <si>
    <r>
      <rPr>
        <b/>
        <sz val="11"/>
        <color theme="1"/>
        <rFont val="Open Sans"/>
        <family val="2"/>
      </rPr>
      <t>Input cell -</t>
    </r>
    <r>
      <rPr>
        <sz val="11"/>
        <color theme="1"/>
        <rFont val="Open Sans"/>
        <family val="2"/>
      </rPr>
      <t xml:space="preserve"> the user can change the assumptions in these cells. This can include cells to be ‘updated’ as described above or cells that allow users to pick an input from a drop-down list using the ‘toggle’ function. </t>
    </r>
  </si>
  <si>
    <r>
      <rPr>
        <b/>
        <sz val="11"/>
        <color theme="1"/>
        <rFont val="Open Sans"/>
        <family val="2"/>
      </rPr>
      <t>Calculation cell -</t>
    </r>
    <r>
      <rPr>
        <sz val="11"/>
        <color theme="1"/>
        <rFont val="Open Sans"/>
        <family val="2"/>
      </rPr>
      <t xml:space="preserve"> cells that can be varied are coloured light blue, Importantly, the cells in white should not be updated (they include calculations that will remain the same).</t>
    </r>
  </si>
  <si>
    <r>
      <t>·</t>
    </r>
    <r>
      <rPr>
        <sz val="7"/>
        <color theme="1"/>
        <rFont val="Times New Roman"/>
        <family val="1"/>
      </rPr>
      <t xml:space="preserve">         </t>
    </r>
    <r>
      <rPr>
        <b/>
        <sz val="11"/>
        <color theme="1"/>
        <rFont val="Public Sans Light"/>
        <family val="3"/>
      </rPr>
      <t>Update the years of analysis</t>
    </r>
    <r>
      <rPr>
        <sz val="11"/>
        <color theme="1"/>
        <rFont val="Public Sans Light"/>
        <family val="3"/>
      </rPr>
      <t xml:space="preserve"> in cells H15 and H16 of the assumptions tab (blue tab).</t>
    </r>
  </si>
  <si>
    <r>
      <t>·</t>
    </r>
    <r>
      <rPr>
        <sz val="7"/>
        <color theme="1"/>
        <rFont val="Times New Roman"/>
        <family val="1"/>
      </rPr>
      <t xml:space="preserve">         </t>
    </r>
    <r>
      <rPr>
        <b/>
        <sz val="11"/>
        <color theme="1"/>
        <rFont val="Public Sans Light"/>
        <family val="3"/>
      </rPr>
      <t xml:space="preserve">Update base year dollars </t>
    </r>
    <r>
      <rPr>
        <sz val="11"/>
        <color theme="1"/>
        <rFont val="Public Sans Light"/>
        <family val="3"/>
      </rPr>
      <t>in cell H19 of the assumptions tab.</t>
    </r>
  </si>
  <si>
    <t xml:space="preserve">This model template enables users to calculate the LRMC of wastewater management using the AIC and Turvey / Pertubation approaches. It should be read in conjunction with the LRMC guidance. </t>
  </si>
  <si>
    <r>
      <t>·</t>
    </r>
    <r>
      <rPr>
        <sz val="7"/>
        <color theme="1"/>
        <rFont val="Times New Roman"/>
        <family val="1"/>
      </rPr>
      <t xml:space="preserve">         </t>
    </r>
    <r>
      <rPr>
        <b/>
        <sz val="11"/>
        <color theme="1"/>
        <rFont val="Public Sans Light"/>
        <family val="3"/>
      </rPr>
      <t xml:space="preserve">Updating asset augmentation names </t>
    </r>
    <r>
      <rPr>
        <sz val="11"/>
        <color theme="1"/>
        <rFont val="Public Sans Light"/>
        <family val="3"/>
      </rPr>
      <t>in cell C78-80.</t>
    </r>
  </si>
  <si>
    <r>
      <t>·</t>
    </r>
    <r>
      <rPr>
        <sz val="7"/>
        <color theme="1"/>
        <rFont val="Times New Roman"/>
        <family val="1"/>
      </rPr>
      <t xml:space="preserve">         </t>
    </r>
    <r>
      <rPr>
        <b/>
        <sz val="11"/>
        <color theme="1"/>
        <rFont val="Public Sans Light"/>
        <family val="3"/>
      </rPr>
      <t xml:space="preserve">Update lead time </t>
    </r>
    <r>
      <rPr>
        <sz val="11"/>
        <color theme="1"/>
        <rFont val="Public Sans Light"/>
        <family val="3"/>
      </rPr>
      <t>of each asset augmentation</t>
    </r>
    <r>
      <rPr>
        <b/>
        <sz val="11"/>
        <color theme="1"/>
        <rFont val="Public Sans Light"/>
        <family val="3"/>
      </rPr>
      <t xml:space="preserve"> </t>
    </r>
    <r>
      <rPr>
        <sz val="11"/>
        <color theme="1"/>
        <rFont val="Public Sans Light"/>
        <family val="3"/>
      </rPr>
      <t>in cells</t>
    </r>
    <r>
      <rPr>
        <b/>
        <sz val="11"/>
        <color theme="1"/>
        <rFont val="Public Sans Light"/>
        <family val="3"/>
      </rPr>
      <t xml:space="preserve"> </t>
    </r>
    <r>
      <rPr>
        <sz val="11"/>
        <color theme="1"/>
        <rFont val="Public Sans Light"/>
        <family val="3"/>
      </rPr>
      <t>E78-80.</t>
    </r>
  </si>
  <si>
    <r>
      <t>·</t>
    </r>
    <r>
      <rPr>
        <sz val="7"/>
        <color theme="1"/>
        <rFont val="Times New Roman"/>
        <family val="1"/>
      </rPr>
      <t xml:space="preserve">         </t>
    </r>
    <r>
      <rPr>
        <b/>
        <sz val="11"/>
        <color theme="1"/>
        <rFont val="Public Sans Light"/>
        <family val="3"/>
      </rPr>
      <t xml:space="preserve">Update asset life </t>
    </r>
    <r>
      <rPr>
        <sz val="11"/>
        <color theme="1"/>
        <rFont val="Public Sans Light"/>
        <family val="3"/>
      </rPr>
      <t>of</t>
    </r>
    <r>
      <rPr>
        <b/>
        <sz val="11"/>
        <color theme="1"/>
        <rFont val="Public Sans Light"/>
        <family val="3"/>
      </rPr>
      <t xml:space="preserve"> </t>
    </r>
    <r>
      <rPr>
        <sz val="11"/>
        <color theme="1"/>
        <rFont val="Public Sans Light"/>
        <family val="3"/>
      </rPr>
      <t>each asset augmentation</t>
    </r>
    <r>
      <rPr>
        <b/>
        <sz val="11"/>
        <color theme="1"/>
        <rFont val="Public Sans Light"/>
        <family val="3"/>
      </rPr>
      <t xml:space="preserve"> </t>
    </r>
    <r>
      <rPr>
        <sz val="11"/>
        <color theme="1"/>
        <rFont val="Public Sans Light"/>
        <family val="3"/>
      </rPr>
      <t>in cells</t>
    </r>
    <r>
      <rPr>
        <b/>
        <sz val="11"/>
        <color theme="1"/>
        <rFont val="Public Sans Light"/>
        <family val="3"/>
      </rPr>
      <t xml:space="preserve"> </t>
    </r>
    <r>
      <rPr>
        <sz val="11"/>
        <color theme="1"/>
        <rFont val="Public Sans Light"/>
        <family val="3"/>
      </rPr>
      <t>F78-80.</t>
    </r>
  </si>
  <si>
    <r>
      <t>·</t>
    </r>
    <r>
      <rPr>
        <sz val="7"/>
        <color theme="1"/>
        <rFont val="Times New Roman"/>
        <family val="1"/>
      </rPr>
      <t xml:space="preserve">         </t>
    </r>
    <r>
      <rPr>
        <b/>
        <sz val="11"/>
        <color theme="1"/>
        <rFont val="Public Sans Light"/>
        <family val="3"/>
      </rPr>
      <t xml:space="preserve">Update capital expenditure </t>
    </r>
    <r>
      <rPr>
        <sz val="11"/>
        <color theme="1"/>
        <rFont val="Public Sans Light"/>
        <family val="3"/>
      </rPr>
      <t>for each asset augmentation in rows  86-88.</t>
    </r>
  </si>
  <si>
    <r>
      <t>·</t>
    </r>
    <r>
      <rPr>
        <sz val="7"/>
        <color theme="1"/>
        <rFont val="Times New Roman"/>
        <family val="1"/>
      </rPr>
      <t xml:space="preserve">         </t>
    </r>
    <r>
      <rPr>
        <b/>
        <sz val="11"/>
        <color theme="1"/>
        <rFont val="Public Sans Light"/>
        <family val="3"/>
      </rPr>
      <t xml:space="preserve">Update the ‘shock’ volume </t>
    </r>
    <r>
      <rPr>
        <sz val="11"/>
        <color theme="1"/>
        <rFont val="Public Sans Light"/>
        <family val="3"/>
      </rPr>
      <t>on the Dashboard tab for the Turvey method in cells F17-19.</t>
    </r>
  </si>
  <si>
    <r>
      <t>·</t>
    </r>
    <r>
      <rPr>
        <sz val="7"/>
        <color theme="1"/>
        <rFont val="Times New Roman"/>
        <family val="1"/>
      </rPr>
      <t xml:space="preserve">         </t>
    </r>
    <r>
      <rPr>
        <b/>
        <sz val="11"/>
        <color theme="1"/>
        <rFont val="Public Sans Light"/>
        <family val="3"/>
      </rPr>
      <t>Update the capacity of existing systems</t>
    </r>
    <r>
      <rPr>
        <sz val="11"/>
        <color theme="1"/>
        <rFont val="Public Sans Light"/>
        <family val="3"/>
      </rPr>
      <t xml:space="preserve"> on the Dashboard tab (triggers for investment) in cells F25-27.</t>
    </r>
  </si>
  <si>
    <r>
      <t>·</t>
    </r>
    <r>
      <rPr>
        <sz val="7"/>
        <color theme="1"/>
        <rFont val="Times New Roman"/>
        <family val="1"/>
      </rPr>
      <t xml:space="preserve">         </t>
    </r>
    <r>
      <rPr>
        <b/>
        <sz val="11"/>
        <color theme="1"/>
        <rFont val="Public Sans Light"/>
        <family val="3"/>
      </rPr>
      <t>Update volume forecasts for each wastewater asset i</t>
    </r>
    <r>
      <rPr>
        <sz val="11"/>
        <color theme="1"/>
        <rFont val="Public Sans Light"/>
        <family val="3"/>
      </rPr>
      <t>n the assumptions tab rows 58-60, 64-66 and 70-72.</t>
    </r>
  </si>
  <si>
    <r>
      <t>·</t>
    </r>
    <r>
      <rPr>
        <sz val="7"/>
        <color theme="1"/>
        <rFont val="Times New Roman"/>
        <family val="1"/>
      </rPr>
      <t xml:space="preserve">         </t>
    </r>
    <r>
      <rPr>
        <b/>
        <sz val="11"/>
        <color theme="1"/>
        <rFont val="Public Sans Light"/>
        <family val="3"/>
      </rPr>
      <t xml:space="preserve">Update operating expenditure </t>
    </r>
    <r>
      <rPr>
        <sz val="11"/>
        <color theme="1"/>
        <rFont val="Public Sans Light"/>
        <family val="3"/>
      </rPr>
      <t>for each asset augmentation in rows 95-97.</t>
    </r>
  </si>
  <si>
    <t>Cover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</si>
</sst>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8" formatCode="&quot;$&quot;#,##0.00;[Red]\-&quot;$&quot;#,##0.00"/>
    <numFmt numFmtId="44" formatCode="_-&quot;$&quot;* #,##0.00_-;\-&quot;$&quot;* #,##0.00_-;_-&quot;$&quot;* &quot;-&quot;??_-;_-@_-"/>
    <numFmt numFmtId="43" formatCode="_-* #,##0.00_-;\-* #,##0.00_-;_-* &quot;-&quot;??_-;_-@_-"/>
    <numFmt numFmtId="164" formatCode="_-* #,##0.0_-;\-* #,##0.0_-;_-* &quot;-&quot;??_-;_-@_-"/>
    <numFmt numFmtId="165" formatCode="_-* #,##0_-;\-* #,##0_-;_-* &quot;-&quot;??_-;_-@_-"/>
    <numFmt numFmtId="166" formatCode="[$-C09]dd\-mmm\-yy;@"/>
    <numFmt numFmtId="167" formatCode="#,##0.0"/>
    <numFmt numFmtId="168" formatCode="&quot;$&quot;#,##0.00"/>
  </numFmts>
  <fonts count="95" x14ac:knownFonts="1">
    <font>
      <sz val="11"/>
      <color theme="1"/>
      <name val="Open Sans"/>
      <family val="2"/>
    </font>
    <font>
      <sz val="11"/>
      <color theme="1"/>
      <name val="Open Sans"/>
      <family val="2"/>
      <scheme val="minor"/>
    </font>
    <font>
      <sz val="11"/>
      <color theme="1"/>
      <name val="Open Sans"/>
      <family val="2"/>
      <scheme val="minor"/>
    </font>
    <font>
      <sz val="11"/>
      <color theme="1"/>
      <name val="Open Sans"/>
      <family val="2"/>
      <scheme val="minor"/>
    </font>
    <font>
      <u/>
      <sz val="11"/>
      <color theme="10"/>
      <name val="Arial"/>
      <family val="2"/>
    </font>
    <font>
      <u/>
      <sz val="11"/>
      <color theme="11"/>
      <name val="Arial"/>
      <family val="2"/>
    </font>
    <font>
      <sz val="11"/>
      <color theme="1"/>
      <name val="Arial"/>
      <family val="2"/>
    </font>
    <font>
      <sz val="11"/>
      <color rgb="FF006100"/>
      <name val="Open Sans"/>
      <family val="2"/>
      <scheme val="minor"/>
    </font>
    <font>
      <sz val="11"/>
      <color rgb="FF9C0006"/>
      <name val="Open Sans"/>
      <family val="2"/>
      <scheme val="minor"/>
    </font>
    <font>
      <sz val="11"/>
      <color rgb="FF9C5700"/>
      <name val="Open Sans"/>
      <family val="2"/>
      <scheme val="minor"/>
    </font>
    <font>
      <sz val="11"/>
      <color rgb="FF3F3F76"/>
      <name val="Open Sans"/>
      <family val="2"/>
      <scheme val="minor"/>
    </font>
    <font>
      <b/>
      <sz val="11"/>
      <color rgb="FF3F3F3F"/>
      <name val="Open Sans"/>
      <family val="2"/>
      <scheme val="minor"/>
    </font>
    <font>
      <b/>
      <sz val="11"/>
      <color rgb="FFFA7D00"/>
      <name val="Open Sans"/>
      <family val="2"/>
      <scheme val="minor"/>
    </font>
    <font>
      <sz val="11"/>
      <color rgb="FFFA7D00"/>
      <name val="Open Sans"/>
      <family val="2"/>
      <scheme val="minor"/>
    </font>
    <font>
      <b/>
      <sz val="11"/>
      <color theme="0"/>
      <name val="Open Sans"/>
      <family val="2"/>
      <scheme val="minor"/>
    </font>
    <font>
      <sz val="11"/>
      <color rgb="FFFF0000"/>
      <name val="Open Sans"/>
      <family val="2"/>
      <scheme val="minor"/>
    </font>
    <font>
      <i/>
      <sz val="11"/>
      <color rgb="FF7F7F7F"/>
      <name val="Open Sans"/>
      <family val="2"/>
      <scheme val="minor"/>
    </font>
    <font>
      <sz val="20"/>
      <color indexed="9"/>
      <name val="Arial"/>
      <family val="2"/>
    </font>
    <font>
      <sz val="16"/>
      <name val="Arial"/>
      <family val="2"/>
    </font>
    <font>
      <sz val="18"/>
      <color theme="3"/>
      <name val="Open Sans Light"/>
      <family val="2"/>
      <scheme val="major"/>
    </font>
    <font>
      <b/>
      <sz val="13"/>
      <color theme="3"/>
      <name val="Open Sans"/>
      <family val="2"/>
      <scheme val="minor"/>
    </font>
    <font>
      <b/>
      <sz val="11"/>
      <color theme="3"/>
      <name val="Open Sans"/>
      <family val="2"/>
      <scheme val="minor"/>
    </font>
    <font>
      <b/>
      <sz val="11"/>
      <color theme="1"/>
      <name val="Open Sans"/>
      <family val="2"/>
      <scheme val="minor"/>
    </font>
    <font>
      <sz val="11"/>
      <name val="Open Sans"/>
      <family val="2"/>
      <scheme val="minor"/>
    </font>
    <font>
      <sz val="10"/>
      <color theme="1"/>
      <name val="Open Sans"/>
      <family val="2"/>
      <scheme val="minor"/>
    </font>
    <font>
      <sz val="11"/>
      <color theme="1"/>
      <name val="Open Sans SemiBold"/>
      <family val="2"/>
    </font>
    <font>
      <sz val="11"/>
      <name val="Open Sans"/>
      <family val="2"/>
    </font>
    <font>
      <u/>
      <sz val="11"/>
      <color theme="10"/>
      <name val="Open Sans"/>
      <family val="2"/>
    </font>
    <font>
      <u/>
      <sz val="11"/>
      <color theme="11"/>
      <name val="Open Sans"/>
      <family val="2"/>
    </font>
    <font>
      <sz val="15"/>
      <color theme="3"/>
      <name val="Open Sans Light"/>
      <family val="2"/>
      <scheme val="major"/>
    </font>
    <font>
      <sz val="18"/>
      <color theme="1"/>
      <name val="Open Sans Light"/>
      <family val="2"/>
      <scheme val="major"/>
    </font>
    <font>
      <sz val="14"/>
      <color theme="1"/>
      <name val="Open Sans SemiBold"/>
      <family val="2"/>
    </font>
    <font>
      <sz val="12"/>
      <color theme="1"/>
      <name val="Open Sans SemiBold"/>
      <family val="2"/>
    </font>
    <font>
      <sz val="20"/>
      <color theme="0"/>
      <name val="Open Sans Light"/>
      <family val="2"/>
      <scheme val="major"/>
    </font>
    <font>
      <sz val="16"/>
      <color theme="0"/>
      <name val="Open Sans SemiBold"/>
      <family val="2"/>
    </font>
    <font>
      <b/>
      <sz val="20"/>
      <color indexed="9"/>
      <name val="Open Sans"/>
      <family val="2"/>
      <scheme val="minor"/>
    </font>
    <font>
      <sz val="20"/>
      <color indexed="9"/>
      <name val="Open Sans"/>
      <family val="2"/>
      <scheme val="minor"/>
    </font>
    <font>
      <sz val="16"/>
      <name val="Open Sans"/>
      <family val="2"/>
      <scheme val="minor"/>
    </font>
    <font>
      <sz val="11"/>
      <color theme="1"/>
      <name val="Open Sans"/>
      <family val="2"/>
    </font>
    <font>
      <sz val="11"/>
      <color theme="0"/>
      <name val="Open Sans"/>
      <family val="2"/>
    </font>
    <font>
      <i/>
      <sz val="11"/>
      <color theme="0" tint="-0.499984740745262"/>
      <name val="Open Sans"/>
      <family val="2"/>
      <scheme val="minor"/>
    </font>
    <font>
      <i/>
      <sz val="11"/>
      <color theme="1"/>
      <name val="Open Sans"/>
      <family val="2"/>
      <scheme val="minor"/>
    </font>
    <font>
      <sz val="11"/>
      <color theme="1"/>
      <name val="Calibri"/>
      <family val="2"/>
    </font>
    <font>
      <sz val="8"/>
      <name val="Open Sans"/>
      <family val="2"/>
    </font>
    <font>
      <sz val="11"/>
      <color theme="0"/>
      <name val="Open Sans"/>
      <family val="2"/>
      <scheme val="minor"/>
    </font>
    <font>
      <b/>
      <sz val="20"/>
      <color indexed="9"/>
      <name val="Public Sans"/>
      <family val="3"/>
    </font>
    <font>
      <sz val="20"/>
      <color theme="0"/>
      <name val="Public Sans"/>
      <family val="3"/>
    </font>
    <font>
      <sz val="20"/>
      <color indexed="9"/>
      <name val="Public Sans"/>
      <family val="3"/>
    </font>
    <font>
      <sz val="11"/>
      <color theme="0"/>
      <name val="Public Sans"/>
      <family val="3"/>
    </font>
    <font>
      <sz val="11"/>
      <color theme="1"/>
      <name val="Public Sans"/>
      <family val="3"/>
    </font>
    <font>
      <sz val="16"/>
      <name val="Public Sans"/>
      <family val="3"/>
    </font>
    <font>
      <sz val="16"/>
      <color theme="0"/>
      <name val="Public Sans"/>
      <family val="3"/>
    </font>
    <font>
      <b/>
      <sz val="20"/>
      <color theme="3"/>
      <name val="Public Sans"/>
      <family val="3"/>
    </font>
    <font>
      <b/>
      <sz val="11"/>
      <color theme="1"/>
      <name val="Public Sans"/>
      <family val="3"/>
    </font>
    <font>
      <i/>
      <sz val="11"/>
      <color theme="8"/>
      <name val="Public Sans"/>
      <family val="3"/>
    </font>
    <font>
      <i/>
      <sz val="11"/>
      <color theme="0" tint="-0.499984740745262"/>
      <name val="Public Sans"/>
      <family val="3"/>
    </font>
    <font>
      <i/>
      <sz val="11"/>
      <color theme="7"/>
      <name val="Public Sans"/>
      <family val="3"/>
    </font>
    <font>
      <b/>
      <sz val="14"/>
      <color theme="4"/>
      <name val="Public Sans"/>
      <family val="3"/>
    </font>
    <font>
      <sz val="10"/>
      <color theme="1"/>
      <name val="Public Sans"/>
      <family val="3"/>
    </font>
    <font>
      <sz val="20"/>
      <color theme="5"/>
      <name val="Public Sans"/>
      <family val="3"/>
    </font>
    <font>
      <sz val="11"/>
      <name val="Public Sans"/>
      <family val="3"/>
    </font>
    <font>
      <b/>
      <sz val="20"/>
      <color theme="4"/>
      <name val="Public Sans"/>
      <family val="3"/>
    </font>
    <font>
      <sz val="14"/>
      <color theme="5"/>
      <name val="Public Sans"/>
      <family val="3"/>
    </font>
    <font>
      <b/>
      <sz val="16"/>
      <color theme="4"/>
      <name val="Public Sans"/>
      <family val="3"/>
    </font>
    <font>
      <b/>
      <sz val="10"/>
      <color theme="1"/>
      <name val="Public Sans"/>
      <family val="3"/>
    </font>
    <font>
      <b/>
      <sz val="11"/>
      <color indexed="63"/>
      <name val="Public Sans"/>
      <family val="3"/>
    </font>
    <font>
      <sz val="11"/>
      <color indexed="63"/>
      <name val="Public Sans"/>
      <family val="3"/>
    </font>
    <font>
      <sz val="11"/>
      <color theme="8"/>
      <name val="Public Sans"/>
      <family val="3"/>
    </font>
    <font>
      <b/>
      <sz val="20"/>
      <color theme="5"/>
      <name val="Public Sans"/>
      <family val="3"/>
    </font>
    <font>
      <b/>
      <sz val="12"/>
      <color theme="1"/>
      <name val="Public Sans"/>
      <family val="3"/>
    </font>
    <font>
      <i/>
      <sz val="10"/>
      <color theme="0" tint="-0.249977111117893"/>
      <name val="Public Sans"/>
      <family val="3"/>
    </font>
    <font>
      <sz val="10"/>
      <name val="Public Sans"/>
      <family val="3"/>
    </font>
    <font>
      <b/>
      <sz val="10"/>
      <name val="Public Sans"/>
      <family val="3"/>
    </font>
    <font>
      <b/>
      <i/>
      <sz val="10"/>
      <color theme="0" tint="-0.249977111117893"/>
      <name val="Public Sans"/>
      <family val="3"/>
    </font>
    <font>
      <b/>
      <sz val="22"/>
      <color theme="4"/>
      <name val="Public Sans"/>
      <family val="3"/>
    </font>
    <font>
      <sz val="16"/>
      <color theme="4"/>
      <name val="Public Sans"/>
      <family val="3"/>
    </font>
    <font>
      <b/>
      <sz val="16"/>
      <color theme="1"/>
      <name val="Public Sans"/>
      <family val="3"/>
    </font>
    <font>
      <sz val="16"/>
      <color theme="1"/>
      <name val="Public Sans"/>
      <family val="3"/>
    </font>
    <font>
      <b/>
      <sz val="20"/>
      <color theme="3"/>
      <name val="Open Sans"/>
      <family val="2"/>
      <scheme val="minor"/>
    </font>
    <font>
      <b/>
      <sz val="10"/>
      <color theme="2"/>
      <name val="Open Sans"/>
      <family val="2"/>
      <scheme val="minor"/>
    </font>
    <font>
      <i/>
      <sz val="10"/>
      <color rgb="FF9BA1A5"/>
      <name val="Open Sans"/>
      <family val="2"/>
      <scheme val="minor"/>
    </font>
    <font>
      <sz val="10"/>
      <color rgb="FF9BA1A5"/>
      <name val="Open Sans"/>
      <family val="2"/>
      <scheme val="minor"/>
    </font>
    <font>
      <b/>
      <sz val="10"/>
      <color theme="1"/>
      <name val="Open Sans"/>
      <family val="2"/>
      <scheme val="minor"/>
    </font>
    <font>
      <sz val="10"/>
      <color theme="1"/>
      <name val="Open Sans"/>
      <family val="2"/>
      <scheme val="minor"/>
    </font>
    <font>
      <b/>
      <sz val="10"/>
      <color theme="1"/>
      <name val="Open Sans"/>
      <family val="2"/>
      <scheme val="minor"/>
    </font>
    <font>
      <b/>
      <sz val="14"/>
      <color theme="1"/>
      <name val="Public Sans"/>
      <family val="3"/>
    </font>
    <font>
      <sz val="11"/>
      <color theme="1"/>
      <name val="Public Sans Light"/>
      <family val="3"/>
    </font>
    <font>
      <sz val="11"/>
      <color theme="1"/>
      <name val="Symbol"/>
      <family val="1"/>
      <charset val="2"/>
    </font>
    <font>
      <sz val="7"/>
      <color theme="1"/>
      <name val="Times New Roman"/>
      <family val="1"/>
    </font>
    <font>
      <b/>
      <sz val="11"/>
      <color theme="1"/>
      <name val="Public Sans Light"/>
      <family val="3"/>
    </font>
    <font>
      <sz val="9"/>
      <color rgb="FF002664"/>
      <name val="Public Sans"/>
      <family val="3"/>
    </font>
    <font>
      <b/>
      <sz val="11"/>
      <color theme="1"/>
      <name val="Open Sans"/>
      <family val="2"/>
    </font>
    <font>
      <b/>
      <sz val="20"/>
      <color theme="2"/>
      <name val="Open Sans"/>
      <family val="2"/>
      <scheme val="minor"/>
    </font>
    <font>
      <b/>
      <sz val="22"/>
      <color theme="2"/>
      <name val="Public Sans"/>
      <family val="3"/>
    </font>
    <font>
      <b/>
      <sz val="20"/>
      <color theme="2"/>
      <name val="Public Sans"/>
      <family val="3"/>
    </font>
  </fonts>
  <fills count="23">
    <fill>
      <patternFill patternType="none"/>
    </fill>
    <fill>
      <patternFill patternType="gray125"/>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tint="-4.9989318521683403E-2"/>
        <bgColor indexed="64"/>
      </patternFill>
    </fill>
    <fill>
      <patternFill patternType="solid">
        <fgColor rgb="FF00A897"/>
        <bgColor indexed="64"/>
      </patternFill>
    </fill>
    <fill>
      <patternFill patternType="solid">
        <fgColor theme="6" tint="0.59996337778862885"/>
        <bgColor indexed="64"/>
      </patternFill>
    </fill>
    <fill>
      <patternFill patternType="solid">
        <fgColor theme="0"/>
        <bgColor indexed="64"/>
      </patternFill>
    </fill>
    <fill>
      <patternFill patternType="solid">
        <fgColor theme="7" tint="0.59999389629810485"/>
        <bgColor indexed="64"/>
      </patternFill>
    </fill>
    <fill>
      <patternFill patternType="solid">
        <fgColor rgb="FFDDEEFF"/>
        <bgColor indexed="64"/>
      </patternFill>
    </fill>
    <fill>
      <patternFill patternType="solid">
        <fgColor theme="7"/>
      </patternFill>
    </fill>
    <fill>
      <patternFill patternType="solid">
        <fgColor theme="7" tint="0.79998168889431442"/>
        <bgColor indexed="65"/>
      </patternFill>
    </fill>
    <fill>
      <patternFill patternType="solid">
        <fgColor rgb="FFFFFFFF"/>
        <bgColor indexed="64"/>
      </patternFill>
    </fill>
    <fill>
      <patternFill patternType="solid">
        <fgColor theme="5"/>
        <bgColor indexed="64"/>
      </patternFill>
    </fill>
    <fill>
      <patternFill patternType="solid">
        <fgColor rgb="FFCBEDFD"/>
        <bgColor indexed="64"/>
      </patternFill>
    </fill>
    <fill>
      <patternFill patternType="solid">
        <fgColor rgb="FF002664"/>
        <bgColor indexed="64"/>
      </patternFill>
    </fill>
    <fill>
      <patternFill patternType="solid">
        <fgColor theme="2"/>
        <bgColor indexed="64"/>
      </patternFill>
    </fill>
  </fills>
  <borders count="2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right/>
      <top/>
      <bottom style="medium">
        <color theme="2"/>
      </bottom>
      <diagonal/>
    </border>
    <border>
      <left style="thin">
        <color theme="2"/>
      </left>
      <right style="thin">
        <color theme="2"/>
      </right>
      <top style="thin">
        <color theme="2"/>
      </top>
      <bottom style="thin">
        <color theme="2"/>
      </bottom>
      <diagonal/>
    </border>
    <border>
      <left style="hair">
        <color indexed="64"/>
      </left>
      <right style="hair">
        <color indexed="64"/>
      </right>
      <top/>
      <bottom style="hair">
        <color indexed="64"/>
      </bottom>
      <diagonal/>
    </border>
    <border>
      <left/>
      <right/>
      <top style="hair">
        <color auto="1"/>
      </top>
      <bottom style="hair">
        <color indexed="64"/>
      </bottom>
      <diagonal/>
    </border>
    <border>
      <left/>
      <right style="hair">
        <color indexed="64"/>
      </right>
      <top/>
      <bottom/>
      <diagonal/>
    </border>
    <border>
      <left/>
      <right style="thin">
        <color theme="0"/>
      </right>
      <top/>
      <bottom style="medium">
        <color theme="2"/>
      </bottom>
      <diagonal/>
    </border>
    <border>
      <left/>
      <right style="thin">
        <color theme="0"/>
      </right>
      <top/>
      <bottom style="thin">
        <color theme="2"/>
      </bottom>
      <diagonal/>
    </border>
    <border>
      <left/>
      <right/>
      <top style="thin">
        <color theme="2"/>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style="medium">
        <color theme="2"/>
      </bottom>
      <diagonal/>
    </border>
    <border>
      <left/>
      <right/>
      <top/>
      <bottom style="thin">
        <color theme="0"/>
      </bottom>
      <diagonal/>
    </border>
  </borders>
  <cellStyleXfs count="40">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0" applyNumberFormat="0" applyBorder="0" applyAlignment="0" applyProtection="0"/>
    <xf numFmtId="0" fontId="10" fillId="6" borderId="1" applyNumberFormat="0" applyAlignment="0" applyProtection="0"/>
    <xf numFmtId="0" fontId="11" fillId="7" borderId="2" applyNumberFormat="0" applyAlignment="0" applyProtection="0"/>
    <xf numFmtId="0" fontId="12" fillId="7" borderId="1" applyNumberFormat="0" applyAlignment="0" applyProtection="0"/>
    <xf numFmtId="0" fontId="13" fillId="0" borderId="3" applyNumberFormat="0" applyFill="0" applyAlignment="0" applyProtection="0"/>
    <xf numFmtId="0" fontId="14" fillId="8" borderId="4" applyNumberFormat="0" applyAlignment="0" applyProtection="0"/>
    <xf numFmtId="0" fontId="15" fillId="0" borderId="0" applyNumberFormat="0" applyFill="0" applyBorder="0" applyAlignment="0" applyProtection="0"/>
    <xf numFmtId="0" fontId="6" fillId="9" borderId="5" applyNumberFormat="0" applyFont="0" applyAlignment="0" applyProtection="0"/>
    <xf numFmtId="0" fontId="16" fillId="0" borderId="0" applyNumberFormat="0" applyFill="0" applyBorder="0" applyAlignment="0" applyProtection="0"/>
    <xf numFmtId="0" fontId="31" fillId="0" borderId="0"/>
    <xf numFmtId="0" fontId="32" fillId="0" borderId="0"/>
    <xf numFmtId="0" fontId="26" fillId="0" borderId="0"/>
    <xf numFmtId="0" fontId="27" fillId="0" borderId="0" applyNumberFormat="0" applyFill="0" applyBorder="0" applyAlignment="0" applyProtection="0"/>
    <xf numFmtId="0" fontId="26" fillId="10" borderId="0"/>
    <xf numFmtId="0" fontId="26" fillId="12" borderId="0"/>
    <xf numFmtId="0" fontId="26" fillId="11" borderId="0"/>
    <xf numFmtId="0" fontId="28" fillId="0" borderId="0" applyNumberFormat="0" applyFill="0" applyBorder="0" applyAlignment="0" applyProtection="0"/>
    <xf numFmtId="0" fontId="19" fillId="0" borderId="0" applyNumberFormat="0" applyFill="0" applyBorder="0" applyAlignment="0" applyProtection="0"/>
    <xf numFmtId="0" fontId="2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0" borderId="9" applyNumberFormat="0" applyFill="0" applyAlignment="0" applyProtection="0"/>
    <xf numFmtId="0" fontId="30" fillId="0" borderId="0">
      <alignment vertical="top"/>
    </xf>
    <xf numFmtId="0" fontId="25" fillId="0" borderId="0"/>
    <xf numFmtId="43" fontId="38" fillId="0" borderId="0" applyFont="0" applyFill="0" applyBorder="0" applyAlignment="0" applyProtection="0"/>
    <xf numFmtId="9" fontId="38" fillId="0" borderId="0" applyFont="0" applyFill="0" applyBorder="0" applyAlignment="0" applyProtection="0"/>
    <xf numFmtId="0" fontId="40" fillId="0" borderId="0">
      <alignment horizontal="center"/>
    </xf>
    <xf numFmtId="0" fontId="23" fillId="14" borderId="10">
      <alignment horizontal="right"/>
    </xf>
    <xf numFmtId="0" fontId="42" fillId="15" borderId="0">
      <alignment horizontal="right" vertical="top"/>
    </xf>
    <xf numFmtId="0" fontId="44" fillId="16" borderId="0" applyNumberFormat="0" applyBorder="0" applyAlignment="0" applyProtection="0"/>
    <xf numFmtId="0" fontId="2" fillId="17" borderId="0" applyNumberFormat="0" applyBorder="0" applyAlignment="0" applyProtection="0"/>
    <xf numFmtId="44" fontId="38" fillId="0" borderId="0" applyFont="0" applyFill="0" applyBorder="0" applyAlignment="0" applyProtection="0"/>
    <xf numFmtId="0" fontId="2" fillId="0" borderId="0"/>
    <xf numFmtId="43" fontId="2" fillId="0" borderId="0" applyFont="0" applyFill="0" applyBorder="0" applyAlignment="0" applyProtection="0"/>
  </cellStyleXfs>
  <cellXfs count="218">
    <xf numFmtId="0" fontId="0" fillId="0" borderId="0" xfId="0"/>
    <xf numFmtId="0" fontId="17" fillId="2" borderId="0" xfId="0" applyFont="1" applyFill="1" applyAlignment="1">
      <alignment vertical="center"/>
    </xf>
    <xf numFmtId="0" fontId="18" fillId="2" borderId="0" xfId="0" applyFont="1" applyFill="1" applyAlignment="1">
      <alignment vertical="top"/>
    </xf>
    <xf numFmtId="0" fontId="33" fillId="2" borderId="0" xfId="0" applyFont="1" applyFill="1" applyAlignment="1">
      <alignment vertical="center"/>
    </xf>
    <xf numFmtId="0" fontId="34" fillId="2" borderId="0" xfId="0" applyFont="1" applyFill="1" applyAlignment="1">
      <alignment vertical="center"/>
    </xf>
    <xf numFmtId="0" fontId="35" fillId="2" borderId="0" xfId="0" applyFont="1" applyFill="1" applyAlignment="1">
      <alignment vertical="center"/>
    </xf>
    <xf numFmtId="0" fontId="36" fillId="2" borderId="0" xfId="0" applyFont="1" applyFill="1" applyAlignment="1">
      <alignment vertical="center"/>
    </xf>
    <xf numFmtId="0" fontId="37" fillId="2" borderId="0" xfId="0" applyFont="1" applyFill="1" applyAlignment="1">
      <alignment vertical="top"/>
    </xf>
    <xf numFmtId="0" fontId="0" fillId="13" borderId="0" xfId="0" applyFill="1"/>
    <xf numFmtId="0" fontId="39" fillId="13" borderId="0" xfId="0" applyFont="1" applyFill="1"/>
    <xf numFmtId="0" fontId="39" fillId="2" borderId="0" xfId="0" applyFont="1" applyFill="1"/>
    <xf numFmtId="0" fontId="3" fillId="13" borderId="0" xfId="0" applyFont="1" applyFill="1" applyAlignment="1">
      <alignment vertical="top"/>
    </xf>
    <xf numFmtId="0" fontId="41" fillId="13" borderId="0" xfId="0" applyFont="1" applyFill="1" applyAlignment="1">
      <alignment vertical="top"/>
    </xf>
    <xf numFmtId="0" fontId="40" fillId="13" borderId="0" xfId="32" applyFill="1" applyAlignment="1">
      <alignment horizontal="left"/>
    </xf>
    <xf numFmtId="0" fontId="3" fillId="13" borderId="0" xfId="34" applyFont="1" applyFill="1">
      <alignment horizontal="right" vertical="top"/>
    </xf>
    <xf numFmtId="0" fontId="23" fillId="13" borderId="0" xfId="0" applyFont="1" applyFill="1" applyAlignment="1">
      <alignment vertical="top"/>
    </xf>
    <xf numFmtId="0" fontId="40" fillId="13" borderId="0" xfId="32" applyFill="1" applyAlignment="1">
      <alignment horizontal="left" vertical="center"/>
    </xf>
    <xf numFmtId="0" fontId="45" fillId="2" borderId="0" xfId="0" applyFont="1" applyFill="1" applyAlignment="1">
      <alignment vertical="center"/>
    </xf>
    <xf numFmtId="0" fontId="46" fillId="2" borderId="0" xfId="0" applyFont="1" applyFill="1" applyAlignment="1">
      <alignment vertical="center"/>
    </xf>
    <xf numFmtId="0" fontId="47" fillId="2" borderId="0" xfId="0" applyFont="1" applyFill="1" applyAlignment="1">
      <alignment vertical="center"/>
    </xf>
    <xf numFmtId="0" fontId="48" fillId="2" borderId="0" xfId="0" applyFont="1" applyFill="1"/>
    <xf numFmtId="0" fontId="49" fillId="0" borderId="0" xfId="0" applyFont="1"/>
    <xf numFmtId="0" fontId="50" fillId="2" borderId="0" xfId="0" applyFont="1" applyFill="1" applyAlignment="1">
      <alignment vertical="top"/>
    </xf>
    <xf numFmtId="0" fontId="51" fillId="2" borderId="0" xfId="0" applyFont="1" applyFill="1" applyAlignment="1">
      <alignment vertical="center"/>
    </xf>
    <xf numFmtId="0" fontId="48" fillId="13" borderId="0" xfId="0" applyFont="1" applyFill="1"/>
    <xf numFmtId="0" fontId="49" fillId="13" borderId="0" xfId="0" applyFont="1" applyFill="1"/>
    <xf numFmtId="0" fontId="53" fillId="13" borderId="0" xfId="0" applyFont="1" applyFill="1"/>
    <xf numFmtId="0" fontId="49" fillId="18" borderId="0" xfId="0" applyFont="1" applyFill="1"/>
    <xf numFmtId="0" fontId="54" fillId="13" borderId="0" xfId="0" applyFont="1" applyFill="1" applyAlignment="1">
      <alignment horizontal="right"/>
    </xf>
    <xf numFmtId="0" fontId="54" fillId="13" borderId="0" xfId="0" applyFont="1" applyFill="1" applyAlignment="1">
      <alignment horizontal="center"/>
    </xf>
    <xf numFmtId="0" fontId="49" fillId="13" borderId="0" xfId="0" applyFont="1" applyFill="1" applyAlignment="1">
      <alignment horizontal="left"/>
    </xf>
    <xf numFmtId="0" fontId="55" fillId="0" borderId="0" xfId="32" applyFont="1" applyAlignment="1">
      <alignment horizontal="left"/>
    </xf>
    <xf numFmtId="0" fontId="54" fillId="13" borderId="0" xfId="0" applyFont="1" applyFill="1"/>
    <xf numFmtId="2" fontId="49" fillId="19" borderId="11" xfId="37" applyNumberFormat="1" applyFont="1" applyFill="1" applyBorder="1" applyAlignment="1">
      <alignment horizontal="center" vertical="center"/>
    </xf>
    <xf numFmtId="9" fontId="49" fillId="13" borderId="0" xfId="31" applyFont="1" applyFill="1"/>
    <xf numFmtId="0" fontId="56" fillId="13" borderId="0" xfId="0" applyFont="1" applyFill="1" applyAlignment="1">
      <alignment horizontal="right"/>
    </xf>
    <xf numFmtId="0" fontId="57" fillId="13" borderId="0" xfId="0" applyFont="1" applyFill="1"/>
    <xf numFmtId="0" fontId="58" fillId="13" borderId="0" xfId="0" applyFont="1" applyFill="1"/>
    <xf numFmtId="0" fontId="57" fillId="13" borderId="0" xfId="0" applyFont="1" applyFill="1" applyAlignment="1">
      <alignment horizontal="center" vertical="center"/>
    </xf>
    <xf numFmtId="43" fontId="49" fillId="13" borderId="0" xfId="0" applyNumberFormat="1" applyFont="1" applyFill="1" applyAlignment="1">
      <alignment horizontal="center" vertical="center"/>
    </xf>
    <xf numFmtId="2" fontId="49" fillId="13" borderId="0" xfId="0" applyNumberFormat="1" applyFont="1" applyFill="1"/>
    <xf numFmtId="0" fontId="49" fillId="13" borderId="0" xfId="0" applyFont="1" applyFill="1" applyAlignment="1">
      <alignment horizontal="center" vertical="center"/>
    </xf>
    <xf numFmtId="0" fontId="53" fillId="13" borderId="0" xfId="0" applyFont="1" applyFill="1" applyAlignment="1">
      <alignment horizontal="center" vertical="center" wrapText="1"/>
    </xf>
    <xf numFmtId="1" fontId="49" fillId="18" borderId="11" xfId="37" applyNumberFormat="1" applyFont="1" applyFill="1" applyBorder="1" applyAlignment="1">
      <alignment horizontal="center" vertical="center"/>
    </xf>
    <xf numFmtId="43" fontId="49" fillId="18" borderId="0" xfId="0" applyNumberFormat="1" applyFont="1" applyFill="1" applyAlignment="1">
      <alignment horizontal="center" vertical="center"/>
    </xf>
    <xf numFmtId="0" fontId="49" fillId="0" borderId="0" xfId="0" applyFont="1" applyAlignment="1">
      <alignment horizontal="center" vertical="center"/>
    </xf>
    <xf numFmtId="0" fontId="0" fillId="13" borderId="0" xfId="0" applyFill="1" applyAlignment="1">
      <alignment horizontal="right"/>
    </xf>
    <xf numFmtId="0" fontId="3" fillId="13" borderId="0" xfId="0" applyFont="1" applyFill="1" applyAlignment="1">
      <alignment horizontal="right" vertical="center"/>
    </xf>
    <xf numFmtId="0" fontId="3" fillId="13" borderId="0" xfId="0" applyFont="1" applyFill="1" applyAlignment="1">
      <alignment horizontal="right" vertical="top"/>
    </xf>
    <xf numFmtId="1" fontId="49" fillId="19" borderId="11" xfId="0" applyNumberFormat="1" applyFont="1" applyFill="1" applyBorder="1" applyAlignment="1">
      <alignment vertical="center"/>
    </xf>
    <xf numFmtId="0" fontId="49" fillId="13" borderId="0" xfId="0" applyFont="1" applyFill="1" applyAlignment="1">
      <alignment horizontal="right"/>
    </xf>
    <xf numFmtId="0" fontId="49" fillId="13" borderId="0" xfId="0" applyFont="1" applyFill="1" applyAlignment="1">
      <alignment horizontal="center"/>
    </xf>
    <xf numFmtId="0" fontId="55" fillId="13" borderId="0" xfId="32" applyFont="1" applyFill="1" applyAlignment="1">
      <alignment horizontal="left" vertical="center"/>
    </xf>
    <xf numFmtId="0" fontId="61" fillId="0" borderId="0" xfId="0" applyFont="1"/>
    <xf numFmtId="0" fontId="62" fillId="13" borderId="0" xfId="0" applyFont="1" applyFill="1" applyAlignment="1">
      <alignment horizontal="left"/>
    </xf>
    <xf numFmtId="0" fontId="49" fillId="13" borderId="0" xfId="0" applyFont="1" applyFill="1" applyAlignment="1">
      <alignment horizontal="right" vertical="center"/>
    </xf>
    <xf numFmtId="1" fontId="49" fillId="19" borderId="11" xfId="0" applyNumberFormat="1" applyFont="1" applyFill="1" applyBorder="1" applyAlignment="1">
      <alignment horizontal="center" vertical="center"/>
    </xf>
    <xf numFmtId="0" fontId="57" fillId="13" borderId="0" xfId="0" applyFont="1" applyFill="1" applyAlignment="1">
      <alignment horizontal="right"/>
    </xf>
    <xf numFmtId="0" fontId="57" fillId="13" borderId="0" xfId="0" applyFont="1" applyFill="1" applyAlignment="1">
      <alignment horizontal="left"/>
    </xf>
    <xf numFmtId="0" fontId="57" fillId="18" borderId="0" xfId="0" applyFont="1" applyFill="1"/>
    <xf numFmtId="0" fontId="49" fillId="13" borderId="0" xfId="0" applyFont="1" applyFill="1" applyAlignment="1">
      <alignment vertical="top"/>
    </xf>
    <xf numFmtId="0" fontId="60" fillId="13" borderId="0" xfId="0" applyFont="1" applyFill="1" applyAlignment="1">
      <alignment horizontal="right" vertical="center" wrapText="1"/>
    </xf>
    <xf numFmtId="0" fontId="60" fillId="13" borderId="0" xfId="0" applyFont="1" applyFill="1" applyAlignment="1">
      <alignment horizontal="left" vertical="center" wrapText="1"/>
    </xf>
    <xf numFmtId="0" fontId="60" fillId="13" borderId="0" xfId="0" applyFont="1" applyFill="1" applyAlignment="1">
      <alignment horizontal="center" vertical="center" wrapText="1"/>
    </xf>
    <xf numFmtId="0" fontId="49" fillId="13" borderId="0" xfId="32" applyFont="1" applyFill="1" applyAlignment="1">
      <alignment horizontal="right"/>
    </xf>
    <xf numFmtId="0" fontId="49" fillId="13" borderId="0" xfId="32" applyFont="1" applyFill="1" applyAlignment="1">
      <alignment horizontal="left"/>
    </xf>
    <xf numFmtId="0" fontId="49" fillId="13" borderId="0" xfId="32" applyFont="1" applyFill="1">
      <alignment horizontal="center"/>
    </xf>
    <xf numFmtId="0" fontId="58" fillId="0" borderId="0" xfId="0" applyFont="1"/>
    <xf numFmtId="0" fontId="57" fillId="0" borderId="0" xfId="0" applyFont="1"/>
    <xf numFmtId="0" fontId="64" fillId="13" borderId="0" xfId="0" applyFont="1" applyFill="1" applyAlignment="1">
      <alignment horizontal="left" vertical="center"/>
    </xf>
    <xf numFmtId="0" fontId="58" fillId="13" borderId="0" xfId="0" applyFont="1" applyFill="1" applyAlignment="1">
      <alignment vertical="center"/>
    </xf>
    <xf numFmtId="0" fontId="58" fillId="13" borderId="0" xfId="0" applyFont="1" applyFill="1" applyAlignment="1">
      <alignment horizontal="left" vertical="center"/>
    </xf>
    <xf numFmtId="0" fontId="58" fillId="13" borderId="0" xfId="0" applyFont="1" applyFill="1" applyAlignment="1">
      <alignment horizontal="right" vertical="center" wrapText="1"/>
    </xf>
    <xf numFmtId="3" fontId="49" fillId="19" borderId="11" xfId="0" applyNumberFormat="1" applyFont="1" applyFill="1" applyBorder="1"/>
    <xf numFmtId="0" fontId="61" fillId="13" borderId="12" xfId="0" applyFont="1" applyFill="1" applyBorder="1"/>
    <xf numFmtId="0" fontId="63" fillId="13" borderId="0" xfId="0" applyFont="1" applyFill="1" applyAlignment="1">
      <alignment horizontal="left"/>
    </xf>
    <xf numFmtId="0" fontId="49" fillId="0" borderId="0" xfId="0" applyFont="1" applyAlignment="1">
      <alignment vertical="center"/>
    </xf>
    <xf numFmtId="0" fontId="67" fillId="13" borderId="0" xfId="0" applyFont="1" applyFill="1" applyAlignment="1">
      <alignment horizontal="center" wrapText="1"/>
    </xf>
    <xf numFmtId="43" fontId="66" fillId="19" borderId="11" xfId="39" applyFont="1" applyFill="1" applyBorder="1" applyAlignment="1">
      <alignment vertical="center" wrapText="1"/>
    </xf>
    <xf numFmtId="0" fontId="49" fillId="0" borderId="0" xfId="38" applyFont="1"/>
    <xf numFmtId="0" fontId="49" fillId="13" borderId="0" xfId="38" applyFont="1" applyFill="1"/>
    <xf numFmtId="0" fontId="49" fillId="13" borderId="0" xfId="38" applyFont="1" applyFill="1" applyAlignment="1">
      <alignment vertical="center"/>
    </xf>
    <xf numFmtId="165" fontId="49" fillId="19" borderId="11" xfId="30" applyNumberFormat="1" applyFont="1" applyFill="1" applyBorder="1"/>
    <xf numFmtId="0" fontId="63" fillId="13" borderId="0" xfId="0" applyFont="1" applyFill="1"/>
    <xf numFmtId="0" fontId="58" fillId="13" borderId="0" xfId="0" applyFont="1" applyFill="1" applyAlignment="1">
      <alignment horizontal="right"/>
    </xf>
    <xf numFmtId="0" fontId="49" fillId="13" borderId="0" xfId="0" applyFont="1" applyFill="1" applyAlignment="1">
      <alignment vertical="center"/>
    </xf>
    <xf numFmtId="0" fontId="65" fillId="13" borderId="0" xfId="38" applyFont="1" applyFill="1" applyAlignment="1">
      <alignment horizontal="center" wrapText="1"/>
    </xf>
    <xf numFmtId="0" fontId="49" fillId="2" borderId="0" xfId="0" applyFont="1" applyFill="1"/>
    <xf numFmtId="0" fontId="55" fillId="0" borderId="0" xfId="32" applyFont="1">
      <alignment horizontal="center"/>
    </xf>
    <xf numFmtId="43" fontId="49" fillId="13" borderId="0" xfId="30" applyFont="1" applyFill="1"/>
    <xf numFmtId="43" fontId="49" fillId="18" borderId="0" xfId="30" applyFont="1" applyFill="1"/>
    <xf numFmtId="0" fontId="59" fillId="0" borderId="0" xfId="0" applyFont="1"/>
    <xf numFmtId="0" fontId="67" fillId="13" borderId="0" xfId="0" applyFont="1" applyFill="1" applyAlignment="1">
      <alignment horizontal="right"/>
    </xf>
    <xf numFmtId="1" fontId="53" fillId="13" borderId="0" xfId="0" applyNumberFormat="1" applyFont="1" applyFill="1" applyAlignment="1">
      <alignment horizontal="center" vertical="center"/>
    </xf>
    <xf numFmtId="0" fontId="59" fillId="13" borderId="0" xfId="0" applyFont="1" applyFill="1"/>
    <xf numFmtId="1" fontId="68" fillId="13" borderId="0" xfId="0" applyNumberFormat="1" applyFont="1" applyFill="1" applyAlignment="1">
      <alignment horizontal="center" vertical="center"/>
    </xf>
    <xf numFmtId="15" fontId="49" fillId="13" borderId="0" xfId="0" applyNumberFormat="1" applyFont="1" applyFill="1"/>
    <xf numFmtId="0" fontId="69" fillId="13" borderId="0" xfId="15" applyFont="1" applyFill="1"/>
    <xf numFmtId="0" fontId="70" fillId="13" borderId="0" xfId="0" applyFont="1" applyFill="1"/>
    <xf numFmtId="0" fontId="71" fillId="13" borderId="0" xfId="0" applyFont="1" applyFill="1"/>
    <xf numFmtId="0" fontId="70" fillId="13" borderId="0" xfId="0" applyFont="1" applyFill="1" applyAlignment="1">
      <alignment horizontal="center" vertical="center"/>
    </xf>
    <xf numFmtId="0" fontId="53" fillId="0" borderId="0" xfId="0" applyFont="1"/>
    <xf numFmtId="0" fontId="49" fillId="13" borderId="0" xfId="36" applyFont="1" applyFill="1"/>
    <xf numFmtId="0" fontId="53" fillId="13" borderId="0" xfId="35" applyFont="1" applyFill="1"/>
    <xf numFmtId="165" fontId="49" fillId="18" borderId="11" xfId="37" applyNumberFormat="1" applyFont="1" applyFill="1" applyBorder="1"/>
    <xf numFmtId="43" fontId="49" fillId="18" borderId="11" xfId="37" applyNumberFormat="1" applyFont="1" applyFill="1" applyBorder="1"/>
    <xf numFmtId="1" fontId="72" fillId="13" borderId="0" xfId="0" applyNumberFormat="1" applyFont="1" applyFill="1" applyAlignment="1">
      <alignment horizontal="center" vertical="center"/>
    </xf>
    <xf numFmtId="0" fontId="70" fillId="18" borderId="0" xfId="0" applyFont="1" applyFill="1" applyAlignment="1">
      <alignment horizontal="center"/>
    </xf>
    <xf numFmtId="1" fontId="73" fillId="13" borderId="0" xfId="0" applyNumberFormat="1" applyFont="1" applyFill="1" applyAlignment="1">
      <alignment horizontal="center" vertical="center"/>
    </xf>
    <xf numFmtId="0" fontId="70" fillId="18" borderId="0" xfId="0" applyFont="1" applyFill="1" applyAlignment="1">
      <alignment horizontal="center" vertical="center"/>
    </xf>
    <xf numFmtId="167" fontId="49" fillId="19" borderId="11" xfId="0" applyNumberFormat="1" applyFont="1" applyFill="1" applyBorder="1"/>
    <xf numFmtId="167" fontId="49" fillId="13" borderId="0" xfId="0" applyNumberFormat="1" applyFont="1" applyFill="1"/>
    <xf numFmtId="43" fontId="53" fillId="18" borderId="11" xfId="37" applyNumberFormat="1" applyFont="1" applyFill="1" applyBorder="1"/>
    <xf numFmtId="0" fontId="75" fillId="13" borderId="0" xfId="0" applyFont="1" applyFill="1" applyAlignment="1">
      <alignment horizontal="center"/>
    </xf>
    <xf numFmtId="0" fontId="75" fillId="13" borderId="0" xfId="0" applyFont="1" applyFill="1"/>
    <xf numFmtId="1" fontId="63" fillId="13" borderId="0" xfId="0" applyNumberFormat="1" applyFont="1" applyFill="1" applyAlignment="1">
      <alignment horizontal="center" vertical="center"/>
    </xf>
    <xf numFmtId="0" fontId="63" fillId="13" borderId="0" xfId="0" applyFont="1" applyFill="1" applyAlignment="1">
      <alignment horizontal="right"/>
    </xf>
    <xf numFmtId="0" fontId="74" fillId="13" borderId="0" xfId="0" applyFont="1" applyFill="1"/>
    <xf numFmtId="0" fontId="61" fillId="13" borderId="0" xfId="0" applyFont="1" applyFill="1"/>
    <xf numFmtId="43" fontId="77" fillId="18" borderId="11" xfId="37" applyNumberFormat="1" applyFont="1" applyFill="1" applyBorder="1" applyAlignment="1">
      <alignment horizontal="center"/>
    </xf>
    <xf numFmtId="164" fontId="49" fillId="13" borderId="0" xfId="30" applyNumberFormat="1" applyFont="1" applyFill="1"/>
    <xf numFmtId="1" fontId="53" fillId="18" borderId="11" xfId="37" applyNumberFormat="1" applyFont="1" applyFill="1" applyBorder="1" applyAlignment="1">
      <alignment horizontal="center" vertical="center"/>
    </xf>
    <xf numFmtId="165" fontId="53" fillId="18" borderId="11" xfId="37" applyNumberFormat="1" applyFont="1" applyFill="1" applyBorder="1"/>
    <xf numFmtId="43" fontId="66" fillId="20" borderId="11" xfId="39" applyFont="1" applyFill="1" applyBorder="1" applyAlignment="1">
      <alignment horizontal="right" vertical="center" wrapText="1"/>
    </xf>
    <xf numFmtId="0" fontId="53" fillId="18" borderId="0" xfId="0" applyFont="1" applyFill="1" applyAlignment="1">
      <alignment horizontal="right"/>
    </xf>
    <xf numFmtId="3" fontId="49" fillId="20" borderId="11" xfId="0" applyNumberFormat="1" applyFont="1" applyFill="1" applyBorder="1"/>
    <xf numFmtId="0" fontId="58" fillId="18" borderId="0" xfId="0" applyFont="1" applyFill="1" applyAlignment="1">
      <alignment horizontal="right" vertical="center" wrapText="1"/>
    </xf>
    <xf numFmtId="2" fontId="49" fillId="20" borderId="11" xfId="37" applyNumberFormat="1" applyFont="1" applyFill="1" applyBorder="1" applyAlignment="1">
      <alignment horizontal="center" vertical="center"/>
    </xf>
    <xf numFmtId="0" fontId="49" fillId="18" borderId="0" xfId="0" applyFont="1" applyFill="1" applyAlignment="1">
      <alignment vertical="top"/>
    </xf>
    <xf numFmtId="2" fontId="49" fillId="18" borderId="11" xfId="0" applyNumberFormat="1" applyFont="1" applyFill="1" applyBorder="1"/>
    <xf numFmtId="165" fontId="49" fillId="20" borderId="11" xfId="30" applyNumberFormat="1" applyFont="1" applyFill="1" applyBorder="1"/>
    <xf numFmtId="9" fontId="49" fillId="20" borderId="11" xfId="31" applyFont="1" applyFill="1" applyBorder="1" applyAlignment="1">
      <alignment horizontal="center" vertical="center"/>
    </xf>
    <xf numFmtId="165" fontId="49" fillId="18" borderId="11" xfId="30" applyNumberFormat="1" applyFont="1" applyFill="1" applyBorder="1"/>
    <xf numFmtId="0" fontId="46" fillId="21" borderId="0" xfId="0" applyFont="1" applyFill="1" applyAlignment="1">
      <alignment vertical="center"/>
    </xf>
    <xf numFmtId="43" fontId="66" fillId="18" borderId="11" xfId="39" applyFont="1" applyFill="1" applyBorder="1" applyAlignment="1">
      <alignment wrapText="1"/>
    </xf>
    <xf numFmtId="0" fontId="67" fillId="18" borderId="0" xfId="0" applyFont="1" applyFill="1" applyAlignment="1">
      <alignment horizontal="center" wrapText="1"/>
    </xf>
    <xf numFmtId="43" fontId="66" fillId="20" borderId="11" xfId="39" applyFont="1" applyFill="1" applyBorder="1" applyAlignment="1">
      <alignment vertical="center" wrapText="1"/>
    </xf>
    <xf numFmtId="0" fontId="67" fillId="18" borderId="0" xfId="0" applyFont="1" applyFill="1" applyAlignment="1">
      <alignment horizontal="right"/>
    </xf>
    <xf numFmtId="166" fontId="49" fillId="18" borderId="13" xfId="0" applyNumberFormat="1" applyFont="1" applyFill="1" applyBorder="1"/>
    <xf numFmtId="15" fontId="49" fillId="18" borderId="0" xfId="0" applyNumberFormat="1" applyFont="1" applyFill="1"/>
    <xf numFmtId="0" fontId="63" fillId="18" borderId="0" xfId="0" applyFont="1" applyFill="1" applyAlignment="1">
      <alignment horizontal="right"/>
    </xf>
    <xf numFmtId="0" fontId="74" fillId="18" borderId="12" xfId="0" applyFont="1" applyFill="1" applyBorder="1"/>
    <xf numFmtId="0" fontId="24" fillId="0" borderId="0" xfId="0" applyFont="1"/>
    <xf numFmtId="0" fontId="1" fillId="0" borderId="0" xfId="0" applyFont="1"/>
    <xf numFmtId="0" fontId="1" fillId="2" borderId="0" xfId="0" applyFont="1" applyFill="1"/>
    <xf numFmtId="0" fontId="24" fillId="0" borderId="0" xfId="0" applyFont="1" applyAlignment="1">
      <alignment horizontal="right"/>
    </xf>
    <xf numFmtId="0" fontId="1" fillId="22" borderId="0" xfId="0" applyFont="1" applyFill="1"/>
    <xf numFmtId="0" fontId="24" fillId="0" borderId="12" xfId="0" applyFont="1" applyBorder="1"/>
    <xf numFmtId="0" fontId="24" fillId="19" borderId="14" xfId="0" applyFont="1" applyFill="1" applyBorder="1"/>
    <xf numFmtId="0" fontId="24" fillId="19" borderId="11" xfId="0" applyFont="1" applyFill="1" applyBorder="1"/>
    <xf numFmtId="0" fontId="80" fillId="0" borderId="0" xfId="0" applyFont="1"/>
    <xf numFmtId="0" fontId="81" fillId="0" borderId="0" xfId="0" applyFont="1" applyAlignment="1">
      <alignment horizontal="right"/>
    </xf>
    <xf numFmtId="0" fontId="55" fillId="13" borderId="0" xfId="0" applyFont="1" applyFill="1"/>
    <xf numFmtId="2" fontId="49" fillId="18" borderId="0" xfId="0" applyNumberFormat="1" applyFont="1" applyFill="1"/>
    <xf numFmtId="43" fontId="49" fillId="18" borderId="0" xfId="37" applyNumberFormat="1" applyFont="1" applyFill="1" applyBorder="1"/>
    <xf numFmtId="165" fontId="53" fillId="18" borderId="0" xfId="37" applyNumberFormat="1" applyFont="1" applyFill="1" applyBorder="1"/>
    <xf numFmtId="43" fontId="53" fillId="18" borderId="0" xfId="37" applyNumberFormat="1" applyFont="1" applyFill="1" applyBorder="1"/>
    <xf numFmtId="43" fontId="49" fillId="13" borderId="0" xfId="37" applyNumberFormat="1" applyFont="1" applyFill="1" applyBorder="1"/>
    <xf numFmtId="165" fontId="53" fillId="13" borderId="0" xfId="37" applyNumberFormat="1" applyFont="1" applyFill="1" applyBorder="1"/>
    <xf numFmtId="43" fontId="53" fillId="13" borderId="0" xfId="37" applyNumberFormat="1" applyFont="1" applyFill="1" applyBorder="1"/>
    <xf numFmtId="0" fontId="49" fillId="19" borderId="11" xfId="0" applyFont="1" applyFill="1" applyBorder="1"/>
    <xf numFmtId="0" fontId="33" fillId="21" borderId="0" xfId="0" applyFont="1" applyFill="1" applyAlignment="1">
      <alignment vertical="center"/>
    </xf>
    <xf numFmtId="0" fontId="34" fillId="21" borderId="0" xfId="0" applyFont="1" applyFill="1" applyAlignment="1">
      <alignment vertical="center"/>
    </xf>
    <xf numFmtId="9" fontId="49" fillId="18" borderId="11" xfId="31" applyFont="1" applyFill="1" applyBorder="1"/>
    <xf numFmtId="9" fontId="49" fillId="20" borderId="11" xfId="31" applyFont="1" applyFill="1" applyBorder="1"/>
    <xf numFmtId="14" fontId="49" fillId="20" borderId="11" xfId="0" applyNumberFormat="1" applyFont="1" applyFill="1" applyBorder="1" applyAlignment="1">
      <alignment horizontal="center" vertical="center"/>
    </xf>
    <xf numFmtId="0" fontId="23" fillId="18" borderId="0" xfId="33" applyFill="1" applyBorder="1" applyAlignment="1">
      <alignment horizontal="center" vertical="center"/>
    </xf>
    <xf numFmtId="14" fontId="49" fillId="18" borderId="11" xfId="0" applyNumberFormat="1" applyFont="1" applyFill="1" applyBorder="1"/>
    <xf numFmtId="0" fontId="53" fillId="18" borderId="0" xfId="0" applyFont="1" applyFill="1"/>
    <xf numFmtId="0" fontId="53" fillId="18" borderId="0" xfId="0" applyFont="1" applyFill="1" applyAlignment="1">
      <alignment horizontal="left"/>
    </xf>
    <xf numFmtId="0" fontId="49" fillId="18" borderId="0" xfId="0" applyFont="1" applyFill="1" applyAlignment="1">
      <alignment horizontal="right"/>
    </xf>
    <xf numFmtId="0" fontId="24" fillId="20" borderId="11" xfId="0" applyFont="1" applyFill="1" applyBorder="1"/>
    <xf numFmtId="0" fontId="81" fillId="0" borderId="0" xfId="0" applyFont="1"/>
    <xf numFmtId="14" fontId="24" fillId="0" borderId="0" xfId="0" applyNumberFormat="1" applyFont="1"/>
    <xf numFmtId="0" fontId="79" fillId="0" borderId="12" xfId="0" applyFont="1" applyBorder="1"/>
    <xf numFmtId="0" fontId="24" fillId="18" borderId="11" xfId="0" applyFont="1" applyFill="1" applyBorder="1"/>
    <xf numFmtId="0" fontId="51" fillId="21" borderId="0" xfId="0" applyFont="1" applyFill="1" applyAlignment="1">
      <alignment vertical="center"/>
    </xf>
    <xf numFmtId="168" fontId="24" fillId="18" borderId="11" xfId="0" applyNumberFormat="1" applyFont="1" applyFill="1" applyBorder="1"/>
    <xf numFmtId="0" fontId="82" fillId="0" borderId="0" xfId="0" applyFont="1"/>
    <xf numFmtId="8" fontId="82" fillId="18" borderId="11" xfId="0" applyNumberFormat="1" applyFont="1" applyFill="1" applyBorder="1"/>
    <xf numFmtId="168" fontId="82" fillId="18" borderId="11" xfId="0" applyNumberFormat="1" applyFont="1" applyFill="1" applyBorder="1"/>
    <xf numFmtId="168" fontId="24" fillId="0" borderId="11" xfId="0" applyNumberFormat="1" applyFont="1" applyBorder="1"/>
    <xf numFmtId="168" fontId="24" fillId="0" borderId="14" xfId="0" applyNumberFormat="1" applyFont="1" applyBorder="1"/>
    <xf numFmtId="0" fontId="24" fillId="0" borderId="15" xfId="0" applyFont="1" applyBorder="1"/>
    <xf numFmtId="0" fontId="82" fillId="0" borderId="16" xfId="0" applyFont="1" applyBorder="1"/>
    <xf numFmtId="168" fontId="82" fillId="0" borderId="11" xfId="0" applyNumberFormat="1" applyFont="1" applyBorder="1"/>
    <xf numFmtId="43" fontId="49" fillId="18" borderId="11" xfId="30" applyFont="1" applyFill="1" applyBorder="1" applyAlignment="1">
      <alignment horizontal="center" vertical="center"/>
    </xf>
    <xf numFmtId="43" fontId="53" fillId="18" borderId="11" xfId="30" applyFont="1" applyFill="1" applyBorder="1" applyAlignment="1">
      <alignment horizontal="center" vertical="center"/>
    </xf>
    <xf numFmtId="168" fontId="83" fillId="0" borderId="11" xfId="0" applyNumberFormat="1" applyFont="1" applyBorder="1"/>
    <xf numFmtId="168" fontId="84" fillId="0" borderId="11" xfId="0" applyNumberFormat="1" applyFont="1" applyBorder="1"/>
    <xf numFmtId="0" fontId="85" fillId="13" borderId="0" xfId="14" applyFont="1" applyFill="1"/>
    <xf numFmtId="0" fontId="86" fillId="13" borderId="0" xfId="0" applyFont="1" applyFill="1" applyAlignment="1">
      <alignment vertical="center"/>
    </xf>
    <xf numFmtId="0" fontId="87" fillId="13" borderId="0" xfId="0" applyFont="1" applyFill="1" applyAlignment="1">
      <alignment horizontal="left" vertical="center" indent="2"/>
    </xf>
    <xf numFmtId="0" fontId="87" fillId="13" borderId="0" xfId="0" applyFont="1" applyFill="1" applyAlignment="1">
      <alignment horizontal="left" vertical="center" indent="4"/>
    </xf>
    <xf numFmtId="0" fontId="90" fillId="13" borderId="0" xfId="0" applyFont="1" applyFill="1" applyAlignment="1">
      <alignment vertical="center"/>
    </xf>
    <xf numFmtId="2" fontId="49" fillId="13" borderId="11" xfId="37" applyNumberFormat="1" applyFont="1" applyFill="1" applyBorder="1" applyAlignment="1">
      <alignment horizontal="center" vertical="center"/>
    </xf>
    <xf numFmtId="0" fontId="92" fillId="0" borderId="12" xfId="0" applyFont="1" applyBorder="1"/>
    <xf numFmtId="0" fontId="78" fillId="0" borderId="12" xfId="0" applyFont="1" applyBorder="1"/>
    <xf numFmtId="0" fontId="93" fillId="0" borderId="17" xfId="0" applyFont="1" applyBorder="1"/>
    <xf numFmtId="0" fontId="94" fillId="0" borderId="17" xfId="0" applyFont="1" applyBorder="1"/>
    <xf numFmtId="0" fontId="52" fillId="0" borderId="17" xfId="0" applyFont="1" applyBorder="1"/>
    <xf numFmtId="0" fontId="52" fillId="13" borderId="17" xfId="0" applyFont="1" applyFill="1" applyBorder="1"/>
    <xf numFmtId="43" fontId="77" fillId="18" borderId="14" xfId="37" applyNumberFormat="1" applyFont="1" applyFill="1" applyBorder="1" applyAlignment="1">
      <alignment horizontal="center"/>
    </xf>
    <xf numFmtId="0" fontId="94" fillId="0" borderId="17" xfId="0" applyFont="1" applyBorder="1" applyAlignment="1">
      <alignment horizontal="center"/>
    </xf>
    <xf numFmtId="43" fontId="76" fillId="18" borderId="14" xfId="37" applyNumberFormat="1" applyFont="1" applyFill="1" applyBorder="1" applyAlignment="1">
      <alignment horizontal="center"/>
    </xf>
    <xf numFmtId="0" fontId="93" fillId="13" borderId="17" xfId="0" applyFont="1" applyFill="1" applyBorder="1"/>
    <xf numFmtId="0" fontId="94" fillId="0" borderId="18" xfId="0" applyFont="1" applyBorder="1"/>
    <xf numFmtId="0" fontId="52" fillId="0" borderId="18" xfId="0" applyFont="1" applyBorder="1"/>
    <xf numFmtId="0" fontId="0" fillId="13" borderId="19" xfId="0" applyFill="1" applyBorder="1"/>
    <xf numFmtId="0" fontId="52" fillId="13" borderId="20" xfId="0" applyFont="1" applyFill="1" applyBorder="1"/>
    <xf numFmtId="0" fontId="52" fillId="13" borderId="21" xfId="0" applyFont="1" applyFill="1" applyBorder="1"/>
    <xf numFmtId="0" fontId="58" fillId="13" borderId="12" xfId="0" applyFont="1" applyFill="1" applyBorder="1"/>
    <xf numFmtId="0" fontId="47" fillId="0" borderId="0" xfId="0" applyFont="1" applyAlignment="1">
      <alignment vertical="center"/>
    </xf>
    <xf numFmtId="0" fontId="52" fillId="0" borderId="20" xfId="0" applyFont="1" applyBorder="1"/>
    <xf numFmtId="0" fontId="52" fillId="0" borderId="21" xfId="0" applyFont="1" applyBorder="1"/>
    <xf numFmtId="0" fontId="52" fillId="0" borderId="22" xfId="0" applyFont="1" applyBorder="1"/>
    <xf numFmtId="0" fontId="0" fillId="13" borderId="23" xfId="0" applyFill="1" applyBorder="1"/>
    <xf numFmtId="0" fontId="39" fillId="0" borderId="0" xfId="0" applyFont="1"/>
  </cellXfs>
  <cellStyles count="40">
    <cellStyle name="20% - Accent4" xfId="36" builtinId="42"/>
    <cellStyle name="Accent4" xfId="35" builtinId="41"/>
    <cellStyle name="Actual" xfId="33" xr:uid="{D3C4CACD-ED26-4A8A-886C-D898095F8707}"/>
    <cellStyle name="Bad" xfId="4" builtinId="27" hidden="1"/>
    <cellStyle name="CalcRef" xfId="34" xr:uid="{70D6B756-7765-4EFA-8B8F-6BCFC577B85A}"/>
    <cellStyle name="Calculation" xfId="8" builtinId="22" hidden="1"/>
    <cellStyle name="Category" xfId="14" xr:uid="{0B7BB563-C5A4-4F2F-B66E-098B032ACF88}"/>
    <cellStyle name="Check Cell" xfId="10" builtinId="23" hidden="1"/>
    <cellStyle name="Comma" xfId="30" builtinId="3"/>
    <cellStyle name="Comma 2 2" xfId="39" xr:uid="{57A8C934-0505-45BF-9151-7B5BEA44E7B2}"/>
    <cellStyle name="Currency 2" xfId="37" xr:uid="{29A2D82E-683D-452B-8115-96AD069BB532}"/>
    <cellStyle name="Explanatory Text" xfId="13" builtinId="53" hidden="1"/>
    <cellStyle name="Followed Hyperlink" xfId="2" builtinId="9" hidden="1"/>
    <cellStyle name="Followed Hyperlink" xfId="21" builtinId="9" customBuiltin="1"/>
    <cellStyle name="Formula change cell" xfId="19" xr:uid="{E49FE87C-DBC2-45C1-9FF9-667C9CDA2707}"/>
    <cellStyle name="Good" xfId="3" builtinId="26" hidden="1"/>
    <cellStyle name="Heading 1" xfId="23" builtinId="16" hidden="1" customBuiltin="1"/>
    <cellStyle name="Heading 2" xfId="24" builtinId="17" hidden="1"/>
    <cellStyle name="Heading 3" xfId="25" builtinId="18" hidden="1"/>
    <cellStyle name="Heading 4" xfId="26" builtinId="19" hidden="1"/>
    <cellStyle name="Hyperlink" xfId="1" builtinId="8" hidden="1"/>
    <cellStyle name="Hyperlink" xfId="17" builtinId="8" customBuiltin="1"/>
    <cellStyle name="Input" xfId="6" builtinId="20" hidden="1"/>
    <cellStyle name="InputCell" xfId="18" xr:uid="{2D6EF06A-4E5E-418C-864D-73935DF5F533}"/>
    <cellStyle name="LineItem" xfId="16" xr:uid="{FD098ECF-44F1-4E9E-8541-48DF2E93B46C}"/>
    <cellStyle name="Linked Cell" xfId="9" builtinId="24" hidden="1"/>
    <cellStyle name="Main heading" xfId="28" xr:uid="{D26EDA8D-059C-4EA7-8387-D6D82099B44B}"/>
    <cellStyle name="Neutral" xfId="5" builtinId="28" hidden="1"/>
    <cellStyle name="Normal" xfId="0" builtinId="0" customBuiltin="1"/>
    <cellStyle name="Normal 2" xfId="38" xr:uid="{FFC5E7DF-AD10-491C-ADEA-DF25158EECC6}"/>
    <cellStyle name="Note" xfId="12" builtinId="10" hidden="1"/>
    <cellStyle name="Output" xfId="7" builtinId="21" hidden="1"/>
    <cellStyle name="Percent" xfId="31" builtinId="5"/>
    <cellStyle name="Solver cell" xfId="20" xr:uid="{C903F9E8-9AA5-4CEB-BCE0-0AFE8624550D}"/>
    <cellStyle name="Subcategory" xfId="15" xr:uid="{911AE8DC-C55F-4732-9700-18C302F7EFA7}"/>
    <cellStyle name="Subheading" xfId="29" xr:uid="{86B8D6F9-798F-4906-90AC-49764B7673C0}"/>
    <cellStyle name="Title" xfId="22" builtinId="15" hidden="1"/>
    <cellStyle name="Total" xfId="27" builtinId="25" hidden="1"/>
    <cellStyle name="Units" xfId="32" xr:uid="{268CB325-AF88-4C0B-AD66-69CE423E6B21}"/>
    <cellStyle name="Warning Text" xfId="11" builtinId="11" hidden="1"/>
  </cellStyles>
  <dxfs count="2">
    <dxf>
      <font>
        <b/>
        <i val="0"/>
        <color theme="0"/>
      </font>
      <fill>
        <patternFill>
          <bgColor theme="4"/>
        </patternFill>
      </fill>
    </dxf>
    <dxf>
      <border>
        <left style="thin">
          <color auto="1"/>
        </left>
        <right style="thin">
          <color auto="1"/>
        </right>
        <top style="thin">
          <color auto="1"/>
        </top>
        <bottom style="thin">
          <color auto="1"/>
        </bottom>
      </border>
    </dxf>
  </dxfs>
  <tableStyles count="1" defaultTableStyle="Table Style 1" defaultPivotStyle="PivotStyleLight16">
    <tableStyle name="Table Style 1" pivot="0" count="2" xr9:uid="{40DC8C16-070A-4096-8C31-BB2DC3A90D62}">
      <tableStyleElement type="wholeTable" dxfId="1"/>
      <tableStyleElement type="headerRow" dxfId="0"/>
    </tableStyle>
  </tableStyles>
  <colors>
    <mruColors>
      <color rgb="FF9BA1A5"/>
      <color rgb="FFE83F35"/>
      <color rgb="FF00A897"/>
      <color rgb="FF5E61AB"/>
      <color rgb="FFFBB216"/>
      <color rgb="FFEB7E00"/>
      <color rgb="FFA10000"/>
      <color rgb="FF37424A"/>
      <color rgb="FF6A7177"/>
      <color rgb="FFCFD1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Dashboard!$E$32</c:f>
              <c:strCache>
                <c:ptCount val="1"/>
                <c:pt idx="0">
                  <c:v>AIC</c:v>
                </c:pt>
              </c:strCache>
            </c:strRef>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anchor="ctr" anchorCtr="1"/>
              <a:lstStyle/>
              <a:p>
                <a:pPr>
                  <a:defRPr sz="1100" b="0" i="0" u="none" strike="noStrike" kern="1200" baseline="0">
                    <a:solidFill>
                      <a:schemeClr val="accent5"/>
                    </a:solidFill>
                    <a:latin typeface="Public San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Dashboard!$C$33:$C$35</c:f>
              <c:strCache>
                <c:ptCount val="3"/>
                <c:pt idx="0">
                  <c:v>Network upgrade name</c:v>
                </c:pt>
                <c:pt idx="1">
                  <c:v>Sewerage treatment plant upgrade name</c:v>
                </c:pt>
                <c:pt idx="2">
                  <c:v>Discharge / ocean outfall upgrade name</c:v>
                </c:pt>
              </c:strCache>
            </c:strRef>
          </c:cat>
          <c:val>
            <c:numRef>
              <c:f>Dashboard!$E$33:$E$35</c:f>
              <c:numCache>
                <c:formatCode>_(* #,##0.00_);_(* \(#,##0.00\);_(* "-"??_);_(@_)</c:formatCode>
                <c:ptCount val="3"/>
                <c:pt idx="0">
                  <c:v>0</c:v>
                </c:pt>
                <c:pt idx="1">
                  <c:v>0</c:v>
                </c:pt>
                <c:pt idx="2">
                  <c:v>0</c:v>
                </c:pt>
              </c:numCache>
            </c:numRef>
          </c:val>
          <c:extLst>
            <c:ext xmlns:c16="http://schemas.microsoft.com/office/drawing/2014/chart" uri="{C3380CC4-5D6E-409C-BE32-E72D297353CC}">
              <c16:uniqueId val="{00000001-07F8-4EC3-A6D1-D96B6888CF3A}"/>
            </c:ext>
          </c:extLst>
        </c:ser>
        <c:ser>
          <c:idx val="2"/>
          <c:order val="2"/>
          <c:tx>
            <c:strRef>
              <c:f>Dashboard!$F$32</c:f>
              <c:strCache>
                <c:ptCount val="1"/>
                <c:pt idx="0">
                  <c:v>Turvey</c:v>
                </c:pt>
              </c:strCache>
            </c:strRef>
          </c:tx>
          <c:spPr>
            <a:solidFill>
              <a:schemeClr val="tx2"/>
            </a:solidFill>
            <a:ln>
              <a:noFill/>
            </a:ln>
            <a:effectLst/>
          </c:spPr>
          <c:invertIfNegative val="0"/>
          <c:dLbls>
            <c:numFmt formatCode="&quot;$&quot;#,##0.00" sourceLinked="0"/>
            <c:spPr>
              <a:noFill/>
              <a:ln>
                <a:noFill/>
              </a:ln>
              <a:effectLst/>
            </c:spPr>
            <c:txPr>
              <a:bodyPr rot="0" spcFirstLastPara="1" vertOverflow="ellipsis" vert="horz" wrap="square" anchor="ctr" anchorCtr="1"/>
              <a:lstStyle/>
              <a:p>
                <a:pPr>
                  <a:defRPr sz="1200" b="0" i="0" u="none" strike="noStrike" kern="1200" baseline="0">
                    <a:solidFill>
                      <a:schemeClr val="accent5"/>
                    </a:solidFill>
                    <a:latin typeface="Public San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Dashboard!$C$33:$C$35</c:f>
              <c:strCache>
                <c:ptCount val="3"/>
                <c:pt idx="0">
                  <c:v>Network upgrade name</c:v>
                </c:pt>
                <c:pt idx="1">
                  <c:v>Sewerage treatment plant upgrade name</c:v>
                </c:pt>
                <c:pt idx="2">
                  <c:v>Discharge / ocean outfall upgrade name</c:v>
                </c:pt>
              </c:strCache>
            </c:strRef>
          </c:cat>
          <c:val>
            <c:numRef>
              <c:f>Dashboard!$F$33:$F$35</c:f>
              <c:numCache>
                <c:formatCode>_(* #,##0.00_);_(* \(#,##0.00\);_(* "-"??_);_(@_)</c:formatCode>
                <c:ptCount val="3"/>
                <c:pt idx="0">
                  <c:v>0</c:v>
                </c:pt>
                <c:pt idx="1">
                  <c:v>0</c:v>
                </c:pt>
                <c:pt idx="2">
                  <c:v>0</c:v>
                </c:pt>
              </c:numCache>
            </c:numRef>
          </c:val>
          <c:extLst>
            <c:ext xmlns:c16="http://schemas.microsoft.com/office/drawing/2014/chart" uri="{C3380CC4-5D6E-409C-BE32-E72D297353CC}">
              <c16:uniqueId val="{00000002-07F8-4EC3-A6D1-D96B6888CF3A}"/>
            </c:ext>
          </c:extLst>
        </c:ser>
        <c:dLbls>
          <c:showLegendKey val="0"/>
          <c:showVal val="0"/>
          <c:showCatName val="0"/>
          <c:showSerName val="0"/>
          <c:showPercent val="0"/>
          <c:showBubbleSize val="0"/>
        </c:dLbls>
        <c:gapWidth val="40"/>
        <c:overlap val="-27"/>
        <c:axId val="1080267551"/>
        <c:axId val="1176079423"/>
        <c:extLst>
          <c:ext xmlns:c15="http://schemas.microsoft.com/office/drawing/2012/chart" uri="{02D57815-91ED-43cb-92C2-25804820EDAC}">
            <c15:filteredBarSeries>
              <c15:ser>
                <c:idx val="0"/>
                <c:order val="0"/>
                <c:tx>
                  <c:strRef>
                    <c:extLst>
                      <c:ext uri="{02D57815-91ED-43cb-92C2-25804820EDAC}">
                        <c15:formulaRef>
                          <c15:sqref>Dashboard!$D$32</c15:sqref>
                        </c15:formulaRef>
                      </c:ext>
                    </c:extLst>
                    <c:strCache>
                      <c:ptCount val="1"/>
                      <c:pt idx="0">
                        <c:v>Average </c:v>
                      </c:pt>
                    </c:strCache>
                  </c:strRef>
                </c:tx>
                <c:spPr>
                  <a:solidFill>
                    <a:schemeClr val="accent1"/>
                  </a:solidFill>
                  <a:ln>
                    <a:noFill/>
                  </a:ln>
                  <a:effectLst/>
                </c:spPr>
                <c:invertIfNegative val="0"/>
                <c:cat>
                  <c:strRef>
                    <c:extLst>
                      <c:ext uri="{02D57815-91ED-43cb-92C2-25804820EDAC}">
                        <c15:formulaRef>
                          <c15:sqref>Dashboard!$C$33:$C$35</c15:sqref>
                        </c15:formulaRef>
                      </c:ext>
                    </c:extLst>
                    <c:strCache>
                      <c:ptCount val="3"/>
                      <c:pt idx="0">
                        <c:v>Network upgrade name</c:v>
                      </c:pt>
                      <c:pt idx="1">
                        <c:v>Sewerage treatment plant upgrade name</c:v>
                      </c:pt>
                      <c:pt idx="2">
                        <c:v>Discharge / ocean outfall upgrade name</c:v>
                      </c:pt>
                    </c:strCache>
                  </c:strRef>
                </c:cat>
                <c:val>
                  <c:numRef>
                    <c:extLst>
                      <c:ext uri="{02D57815-91ED-43cb-92C2-25804820EDAC}">
                        <c15:formulaRef>
                          <c15:sqref>Dashboard!$D$33:$D$35</c15:sqref>
                        </c15:formulaRef>
                      </c:ext>
                    </c:extLst>
                    <c:numCache>
                      <c:formatCode>_(* #,##0.00_);_(* \(#,##0.00\);_(* "-"??_);_(@_)</c:formatCode>
                      <c:ptCount val="3"/>
                      <c:pt idx="0">
                        <c:v>0</c:v>
                      </c:pt>
                      <c:pt idx="1">
                        <c:v>0</c:v>
                      </c:pt>
                      <c:pt idx="2">
                        <c:v>0</c:v>
                      </c:pt>
                    </c:numCache>
                  </c:numRef>
                </c:val>
                <c:extLst>
                  <c:ext xmlns:c16="http://schemas.microsoft.com/office/drawing/2014/chart" uri="{C3380CC4-5D6E-409C-BE32-E72D297353CC}">
                    <c16:uniqueId val="{00000000-07F8-4EC3-A6D1-D96B6888CF3A}"/>
                  </c:ext>
                </c:extLst>
              </c15:ser>
            </c15:filteredBarSeries>
          </c:ext>
        </c:extLst>
      </c:barChart>
      <c:catAx>
        <c:axId val="1080267551"/>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400" b="0" i="0" u="none" strike="noStrike" kern="1200" baseline="0">
                <a:solidFill>
                  <a:schemeClr val="accent5"/>
                </a:solidFill>
                <a:latin typeface="Public Sans" pitchFamily="2" charset="0"/>
                <a:ea typeface="+mn-ea"/>
                <a:cs typeface="+mn-cs"/>
              </a:defRPr>
            </a:pPr>
            <a:endParaRPr lang="en-US"/>
          </a:p>
        </c:txPr>
        <c:crossAx val="1176079423"/>
        <c:crosses val="autoZero"/>
        <c:auto val="1"/>
        <c:lblAlgn val="ctr"/>
        <c:lblOffset val="100"/>
        <c:noMultiLvlLbl val="0"/>
      </c:catAx>
      <c:valAx>
        <c:axId val="1176079423"/>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mn-ea"/>
                    <a:cs typeface="+mn-cs"/>
                  </a:defRPr>
                </a:pPr>
                <a:r>
                  <a:rPr lang="en-AU" sz="1400">
                    <a:latin typeface="Public Sans" pitchFamily="2" charset="0"/>
                  </a:rPr>
                  <a:t>LRMC of wastewater mangement ($FY24/kL)</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mn-ea"/>
                  <a:cs typeface="+mn-cs"/>
                </a:defRPr>
              </a:pPr>
              <a:endParaRPr lang="en-US"/>
            </a:p>
          </c:txPr>
        </c:title>
        <c:numFmt formatCode="_(* #,##0.00_);_(* \(#,##0.00\);_(* &quot;-&quot;??_);_(@_)"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00" b="0" i="0" u="none" strike="noStrike" kern="1200" baseline="0">
                <a:solidFill>
                  <a:schemeClr val="accent5"/>
                </a:solidFill>
                <a:latin typeface="Public Sans" pitchFamily="2" charset="0"/>
                <a:ea typeface="+mn-ea"/>
                <a:cs typeface="+mn-cs"/>
              </a:defRPr>
            </a:pPr>
            <a:endParaRPr lang="en-US"/>
          </a:p>
        </c:txPr>
        <c:crossAx val="1080267551"/>
        <c:crosses val="autoZero"/>
        <c:crossBetween val="between"/>
      </c:valAx>
      <c:spPr>
        <a:noFill/>
        <a:ln>
          <a:noFill/>
        </a:ln>
        <a:effectLst/>
      </c:spPr>
    </c:plotArea>
    <c:legend>
      <c:legendPos val="b"/>
      <c:layout>
        <c:manualLayout>
          <c:xMode val="edge"/>
          <c:yMode val="edge"/>
          <c:x val="0.47422850279944256"/>
          <c:y val="0.91956131341624847"/>
          <c:w val="0.2319130766288765"/>
          <c:h val="7.988888743910678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accent5"/>
              </a:solidFill>
              <a:latin typeface="Public Sans" pitchFamily="2"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solidFill>
            <a:schemeClr val="accent5"/>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59558042997926"/>
          <c:y val="3.8964380510474558E-2"/>
          <c:w val="0.78283576250402342"/>
          <c:h val="0.7215244695503702"/>
        </c:manualLayout>
      </c:layout>
      <c:lineChart>
        <c:grouping val="standard"/>
        <c:varyColors val="0"/>
        <c:ser>
          <c:idx val="0"/>
          <c:order val="0"/>
          <c:tx>
            <c:strRef>
              <c:f>Dashboard!$E$50</c:f>
              <c:strCache>
                <c:ptCount val="1"/>
                <c:pt idx="0">
                  <c:v>No growth in volumes</c:v>
                </c:pt>
              </c:strCache>
            </c:strRef>
          </c:tx>
          <c:spPr>
            <a:ln w="25400" cap="rnd">
              <a:noFill/>
              <a:round/>
            </a:ln>
            <a:effectLst/>
          </c:spPr>
          <c:marker>
            <c:symbol val="circle"/>
            <c:size val="12"/>
            <c:spPr>
              <a:solidFill>
                <a:schemeClr val="accent1"/>
              </a:solidFill>
              <a:ln w="9525">
                <a:noFill/>
              </a:ln>
              <a:effectLst/>
            </c:spPr>
          </c:marker>
          <c:cat>
            <c:strRef>
              <c:f>Dashboard!$C$51:$D$54</c:f>
              <c:strCache>
                <c:ptCount val="4"/>
                <c:pt idx="1">
                  <c:v>Network upgrade name</c:v>
                </c:pt>
                <c:pt idx="2">
                  <c:v>Sewerage treatment plant upgrade name</c:v>
                </c:pt>
                <c:pt idx="3">
                  <c:v>Discharge / ocean outfall upgrade name</c:v>
                </c:pt>
              </c:strCache>
            </c:strRef>
          </c:cat>
          <c:val>
            <c:numRef>
              <c:f>Dashboard!$E$51:$E$54</c:f>
              <c:numCache>
                <c:formatCode>0</c:formatCode>
                <c:ptCount val="4"/>
                <c:pt idx="1">
                  <c:v>0</c:v>
                </c:pt>
                <c:pt idx="2">
                  <c:v>0</c:v>
                </c:pt>
                <c:pt idx="3">
                  <c:v>0</c:v>
                </c:pt>
              </c:numCache>
            </c:numRef>
          </c:val>
          <c:smooth val="0"/>
          <c:extLst>
            <c:ext xmlns:c16="http://schemas.microsoft.com/office/drawing/2014/chart" uri="{C3380CC4-5D6E-409C-BE32-E72D297353CC}">
              <c16:uniqueId val="{00000001-32C6-4937-8796-CB6D5AA364E9}"/>
            </c:ext>
          </c:extLst>
        </c:ser>
        <c:ser>
          <c:idx val="1"/>
          <c:order val="1"/>
          <c:tx>
            <c:strRef>
              <c:f>Dashboard!$F$50</c:f>
              <c:strCache>
                <c:ptCount val="1"/>
                <c:pt idx="0">
                  <c:v>Forecast growth in volumes </c:v>
                </c:pt>
              </c:strCache>
            </c:strRef>
          </c:tx>
          <c:spPr>
            <a:ln w="25400" cap="rnd">
              <a:noFill/>
              <a:round/>
            </a:ln>
            <a:effectLst/>
          </c:spPr>
          <c:marker>
            <c:symbol val="circle"/>
            <c:size val="12"/>
            <c:spPr>
              <a:solidFill>
                <a:schemeClr val="tx2"/>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Dashboard!$C$51:$D$54</c:f>
              <c:strCache>
                <c:ptCount val="4"/>
                <c:pt idx="1">
                  <c:v>Network upgrade name</c:v>
                </c:pt>
                <c:pt idx="2">
                  <c:v>Sewerage treatment plant upgrade name</c:v>
                </c:pt>
                <c:pt idx="3">
                  <c:v>Discharge / ocean outfall upgrade name</c:v>
                </c:pt>
              </c:strCache>
            </c:strRef>
          </c:cat>
          <c:val>
            <c:numRef>
              <c:f>Dashboard!$F$51:$F$54</c:f>
              <c:numCache>
                <c:formatCode>0</c:formatCode>
                <c:ptCount val="4"/>
                <c:pt idx="1">
                  <c:v>0</c:v>
                </c:pt>
                <c:pt idx="2">
                  <c:v>0</c:v>
                </c:pt>
                <c:pt idx="3">
                  <c:v>0</c:v>
                </c:pt>
              </c:numCache>
            </c:numRef>
          </c:val>
          <c:smooth val="0"/>
          <c:extLst>
            <c:ext xmlns:c16="http://schemas.microsoft.com/office/drawing/2014/chart" uri="{C3380CC4-5D6E-409C-BE32-E72D297353CC}">
              <c16:uniqueId val="{00000002-32C6-4937-8796-CB6D5AA364E9}"/>
            </c:ext>
          </c:extLst>
        </c:ser>
        <c:ser>
          <c:idx val="3"/>
          <c:order val="2"/>
          <c:tx>
            <c:strRef>
              <c:f>Dashboard!$G$50</c:f>
              <c:strCache>
                <c:ptCount val="1"/>
                <c:pt idx="0">
                  <c:v>Higher volumes (Turvey shock)</c:v>
                </c:pt>
              </c:strCache>
            </c:strRef>
          </c:tx>
          <c:spPr>
            <a:ln w="25400" cap="rnd">
              <a:noFill/>
              <a:round/>
            </a:ln>
            <a:effectLst/>
          </c:spPr>
          <c:marker>
            <c:symbol val="circle"/>
            <c:size val="12"/>
            <c:spPr>
              <a:solidFill>
                <a:schemeClr val="accent4"/>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Dashboard!$C$51:$D$54</c:f>
              <c:strCache>
                <c:ptCount val="4"/>
                <c:pt idx="1">
                  <c:v>Network upgrade name</c:v>
                </c:pt>
                <c:pt idx="2">
                  <c:v>Sewerage treatment plant upgrade name</c:v>
                </c:pt>
                <c:pt idx="3">
                  <c:v>Discharge / ocean outfall upgrade name</c:v>
                </c:pt>
              </c:strCache>
            </c:strRef>
          </c:cat>
          <c:val>
            <c:numRef>
              <c:f>Dashboard!$G$51:$G$54</c:f>
              <c:numCache>
                <c:formatCode>0</c:formatCode>
                <c:ptCount val="4"/>
                <c:pt idx="1">
                  <c:v>0</c:v>
                </c:pt>
                <c:pt idx="2">
                  <c:v>0</c:v>
                </c:pt>
                <c:pt idx="3">
                  <c:v>0</c:v>
                </c:pt>
              </c:numCache>
            </c:numRef>
          </c:val>
          <c:smooth val="0"/>
          <c:extLst>
            <c:ext xmlns:c16="http://schemas.microsoft.com/office/drawing/2014/chart" uri="{C3380CC4-5D6E-409C-BE32-E72D297353CC}">
              <c16:uniqueId val="{00000004-32C6-4937-8796-CB6D5AA364E9}"/>
            </c:ext>
          </c:extLst>
        </c:ser>
        <c:dLbls>
          <c:showLegendKey val="0"/>
          <c:showVal val="0"/>
          <c:showCatName val="0"/>
          <c:showSerName val="0"/>
          <c:showPercent val="0"/>
          <c:showBubbleSize val="0"/>
        </c:dLbls>
        <c:marker val="1"/>
        <c:smooth val="0"/>
        <c:axId val="1579835215"/>
        <c:axId val="1579835631"/>
      </c:lineChart>
      <c:catAx>
        <c:axId val="1579835215"/>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1579835631"/>
        <c:crosses val="autoZero"/>
        <c:auto val="1"/>
        <c:lblAlgn val="ctr"/>
        <c:lblOffset val="100"/>
        <c:noMultiLvlLbl val="0"/>
      </c:catAx>
      <c:valAx>
        <c:axId val="1579835631"/>
        <c:scaling>
          <c:orientation val="minMax"/>
          <c:min val="2025"/>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Open Sans SemiBold"/>
                    <a:ea typeface="Open Sans SemiBold"/>
                    <a:cs typeface="Open Sans SemiBold"/>
                  </a:defRPr>
                </a:pPr>
                <a:r>
                  <a:rPr lang="en-AU">
                    <a:solidFill>
                      <a:schemeClr val="accent5"/>
                    </a:solidFill>
                  </a:rPr>
                  <a:t>Timing of augmentations</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Open Sans SemiBold"/>
                  <a:ea typeface="Open Sans SemiBold"/>
                  <a:cs typeface="Open Sans SemiBold"/>
                </a:defRPr>
              </a:pPr>
              <a:endParaRPr lang="en-US"/>
            </a:p>
          </c:txPr>
        </c:title>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1579835215"/>
        <c:crosses val="autoZero"/>
        <c:crossBetween val="midCat"/>
        <c:majorUnit val="1"/>
        <c:minorUnit val="1"/>
      </c:valAx>
      <c:spPr>
        <a:noFill/>
        <a:ln>
          <a:noFill/>
        </a:ln>
        <a:effectLst/>
      </c:spPr>
    </c:plotArea>
    <c:legend>
      <c:legendPos val="b"/>
      <c:layout>
        <c:manualLayout>
          <c:xMode val="edge"/>
          <c:yMode val="edge"/>
          <c:x val="0.11818604211880603"/>
          <c:y val="0.89048080200351276"/>
          <c:w val="0.70200862310909351"/>
          <c:h val="7.4100375160743054E-2"/>
        </c:manualLayout>
      </c:layout>
      <c:overlay val="0"/>
      <c:spPr>
        <a:noFill/>
        <a:ln>
          <a:noFill/>
        </a:ln>
        <a:effectLst/>
      </c:spPr>
      <c:txPr>
        <a:bodyPr rot="0" spcFirstLastPara="1" vertOverflow="ellipsis" vert="horz" wrap="square" anchor="ctr" anchorCtr="1"/>
        <a:lstStyle/>
        <a:p>
          <a:pPr>
            <a:defRPr sz="1250" b="0" i="0" u="none" strike="noStrike" kern="1200" baseline="0">
              <a:solidFill>
                <a:schemeClr val="accent5"/>
              </a:solidFill>
              <a:latin typeface="Open Sans"/>
              <a:ea typeface="Open Sans"/>
              <a:cs typeface="Open San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600313</xdr:colOff>
      <xdr:row>30</xdr:row>
      <xdr:rowOff>202925</xdr:rowOff>
    </xdr:from>
    <xdr:to>
      <xdr:col>18</xdr:col>
      <xdr:colOff>693964</xdr:colOff>
      <xdr:row>47</xdr:row>
      <xdr:rowOff>272144</xdr:rowOff>
    </xdr:to>
    <xdr:graphicFrame macro="">
      <xdr:nvGraphicFramePr>
        <xdr:cNvPr id="2" name="Chart 1">
          <a:extLst>
            <a:ext uri="{FF2B5EF4-FFF2-40B4-BE49-F238E27FC236}">
              <a16:creationId xmlns:a16="http://schemas.microsoft.com/office/drawing/2014/main" id="{95039F49-8FE1-44AE-8C26-97C586A32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419395</xdr:colOff>
      <xdr:row>55</xdr:row>
      <xdr:rowOff>93142</xdr:rowOff>
    </xdr:from>
    <xdr:to>
      <xdr:col>8</xdr:col>
      <xdr:colOff>299358</xdr:colOff>
      <xdr:row>85</xdr:row>
      <xdr:rowOff>-1</xdr:rowOff>
    </xdr:to>
    <xdr:graphicFrame macro="">
      <xdr:nvGraphicFramePr>
        <xdr:cNvPr id="4" name="Chart 3">
          <a:extLst>
            <a:ext uri="{FF2B5EF4-FFF2-40B4-BE49-F238E27FC236}">
              <a16:creationId xmlns:a16="http://schemas.microsoft.com/office/drawing/2014/main" id="{B1176995-5B0C-44E8-A68E-6D748507D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environmentnswgov-my.sharepoint.com/personal/nirmal_singh_dpie_nsw_gov_au/Documents/LRMC/Templates%20populated%20with%20case%20studies%20used%20in%20workshop%20on%204.6.24/2024-06-05%20Wastewater%20LRMC%20model%20template%20-%20Case%20study%20-%20STC.xlsx" TargetMode="External"/><Relationship Id="rId2" Type="http://schemas.microsoft.com/office/2019/04/relationships/externalLinkLongPath" Target="https://environmentnswgov-my.sharepoint.com/personal/nirmal_singh_dpie_nsw_gov_au/Documents/LRMC/Templates%20populated%20with%20case%20studies%20used%20in%20workshop%20on%204.6.24/2024-06-05%20Wastewater%20LRMC%20model%20template%20-%20Case%20study%20-%20STC.xlsx?13675AED" TargetMode="External"/><Relationship Id="rId1" Type="http://schemas.openxmlformats.org/officeDocument/2006/relationships/externalLinkPath" Target="file:///\\13675AED\2024-06-05%20Wastewater%20LRMC%20model%20template%20-%20Case%20study%20-%20S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page"/>
      <sheetName val="Dashboard"/>
      <sheetName val="Example - Application of LRMC"/>
      <sheetName val="Expenditure calculations"/>
      <sheetName val="Wastewater LRMC"/>
      <sheetName val="Assumptions"/>
      <sheetName val="Disclaimer"/>
    </sheetNames>
    <sheetDataSet>
      <sheetData sheetId="0"/>
      <sheetData sheetId="1">
        <row r="22">
          <cell r="F22">
            <v>-0.05</v>
          </cell>
        </row>
        <row r="23">
          <cell r="F23">
            <v>0.05</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DPE">
      <a:dk1>
        <a:srgbClr val="22272B"/>
      </a:dk1>
      <a:lt1>
        <a:srgbClr val="FFFFFF"/>
      </a:lt1>
      <a:dk2>
        <a:srgbClr val="D7153A"/>
      </a:dk2>
      <a:lt2>
        <a:srgbClr val="002664"/>
      </a:lt2>
      <a:accent1>
        <a:srgbClr val="002664"/>
      </a:accent1>
      <a:accent2>
        <a:srgbClr val="CBEDFD"/>
      </a:accent2>
      <a:accent3>
        <a:srgbClr val="146CFD"/>
      </a:accent3>
      <a:accent4>
        <a:srgbClr val="8CE0FF"/>
      </a:accent4>
      <a:accent5>
        <a:srgbClr val="495054"/>
      </a:accent5>
      <a:accent6>
        <a:srgbClr val="FFB8C1"/>
      </a:accent6>
      <a:hlink>
        <a:srgbClr val="22272B"/>
      </a:hlink>
      <a:folHlink>
        <a:srgbClr val="22272B"/>
      </a:folHlink>
    </a:clrScheme>
    <a:fontScheme name="FE">
      <a:majorFont>
        <a:latin typeface="Open Sans Light"/>
        <a:ea typeface=""/>
        <a:cs typeface=""/>
      </a:majorFont>
      <a:minorFont>
        <a:latin typeface="Open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FE Red">
      <a:srgbClr val="E83F35"/>
    </a:custClr>
    <a:custClr name="Pine">
      <a:srgbClr val="00A897"/>
    </a:custClr>
    <a:custClr name="Forest">
      <a:srgbClr val="2B555A"/>
    </a:custClr>
    <a:custClr name="Deep blue">
      <a:srgbClr val="005F95"/>
    </a:custClr>
    <a:custClr name="Grey 3">
      <a:srgbClr val="6A7177"/>
    </a:custClr>
    <a:custClr name="Dark red">
      <a:srgbClr val="A10000"/>
    </a:custClr>
    <a:custClr name="Orange 1">
      <a:srgbClr val="EB7E00"/>
    </a:custClr>
    <a:custClr name="Orange 2">
      <a:srgbClr val="FBB216"/>
    </a:custClr>
    <a:custClr name="Purple">
      <a:srgbClr val="7261AB"/>
    </a:custClr>
  </a:custClr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65EDF-3CE4-4F67-8C0A-685591BF56AE}">
  <dimension ref="A1:AZ61"/>
  <sheetViews>
    <sheetView tabSelected="1" zoomScale="80" zoomScaleNormal="80" workbookViewId="0">
      <selection activeCell="D6" sqref="D6"/>
    </sheetView>
  </sheetViews>
  <sheetFormatPr defaultRowHeight="16.5" x14ac:dyDescent="0.45"/>
  <cols>
    <col min="1" max="1" width="4.69140625" customWidth="1"/>
    <col min="2" max="2" width="4.3046875" customWidth="1"/>
  </cols>
  <sheetData>
    <row r="1" spans="1:52" ht="31.5" x14ac:dyDescent="0.5">
      <c r="A1" s="17"/>
      <c r="B1" s="133" t="s">
        <v>158</v>
      </c>
      <c r="C1" s="18"/>
      <c r="D1" s="19"/>
      <c r="E1" s="19"/>
      <c r="F1" s="19"/>
      <c r="G1" s="19"/>
      <c r="H1" s="19"/>
      <c r="I1" s="17"/>
      <c r="J1" s="19"/>
      <c r="K1" s="19"/>
      <c r="L1" s="19"/>
      <c r="M1" s="19"/>
      <c r="N1" s="19"/>
      <c r="O1" s="19"/>
      <c r="P1" s="19"/>
      <c r="Q1" s="19"/>
      <c r="R1" s="19"/>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row>
    <row r="2" spans="1:52" ht="25.5" x14ac:dyDescent="0.5">
      <c r="A2" s="22"/>
      <c r="B2" s="176" t="s">
        <v>179</v>
      </c>
      <c r="C2" s="23"/>
      <c r="D2" s="22"/>
      <c r="E2" s="22"/>
      <c r="F2" s="22"/>
      <c r="G2" s="22"/>
      <c r="H2" s="22"/>
      <c r="I2" s="22"/>
      <c r="J2" s="22"/>
      <c r="K2" s="22"/>
      <c r="L2" s="22"/>
      <c r="M2" s="22"/>
      <c r="N2" s="22"/>
      <c r="O2" s="22"/>
      <c r="P2" s="22"/>
      <c r="Q2" s="22"/>
      <c r="R2" s="22"/>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row>
    <row r="3" spans="1:52" x14ac:dyDescent="0.45">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row>
    <row r="4" spans="1:52" x14ac:dyDescent="0.45">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row>
    <row r="5" spans="1:52" x14ac:dyDescent="0.45">
      <c r="A5" s="8"/>
      <c r="B5" s="8"/>
      <c r="C5" s="8" t="s">
        <v>170</v>
      </c>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row>
    <row r="6" spans="1:52" ht="18" x14ac:dyDescent="0.45">
      <c r="A6" s="8"/>
      <c r="B6" s="191"/>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row>
    <row r="7" spans="1:52" s="21" customFormat="1" ht="35.5" thickBot="1" x14ac:dyDescent="1">
      <c r="A7" s="24"/>
      <c r="B7" s="198" t="s">
        <v>159</v>
      </c>
      <c r="C7" s="199"/>
      <c r="D7" s="199"/>
      <c r="E7" s="199"/>
      <c r="F7" s="199"/>
      <c r="G7" s="199"/>
      <c r="H7" s="199"/>
      <c r="I7" s="199"/>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row>
    <row r="8" spans="1:52" x14ac:dyDescent="0.45">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row>
    <row r="9" spans="1:52" ht="18" x14ac:dyDescent="0.45">
      <c r="A9" s="8"/>
      <c r="B9" s="8"/>
      <c r="C9" s="191" t="s">
        <v>160</v>
      </c>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row>
    <row r="10" spans="1:52" ht="18" x14ac:dyDescent="0.45">
      <c r="A10" s="8"/>
      <c r="B10" s="8"/>
      <c r="C10" s="192" t="s">
        <v>153</v>
      </c>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row>
    <row r="11" spans="1:52" ht="18" x14ac:dyDescent="0.45">
      <c r="A11" s="8"/>
      <c r="B11" s="8"/>
      <c r="C11" s="192" t="s">
        <v>157</v>
      </c>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row>
    <row r="12" spans="1:52" ht="18" x14ac:dyDescent="0.45">
      <c r="A12" s="8"/>
      <c r="B12" s="8"/>
      <c r="C12" s="192" t="s">
        <v>161</v>
      </c>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row>
    <row r="13" spans="1:52" ht="18" x14ac:dyDescent="0.45">
      <c r="A13" s="8"/>
      <c r="B13" s="8"/>
      <c r="C13" s="192" t="s">
        <v>162</v>
      </c>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row>
    <row r="14" spans="1:52" ht="18" x14ac:dyDescent="0.45">
      <c r="A14" s="8"/>
      <c r="B14" s="8"/>
      <c r="C14" s="192" t="s">
        <v>154</v>
      </c>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row>
    <row r="15" spans="1:52" x14ac:dyDescent="0.45">
      <c r="A15" s="8"/>
      <c r="B15" s="192"/>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row>
    <row r="16" spans="1:52" s="21" customFormat="1" ht="35.5" thickBot="1" x14ac:dyDescent="1">
      <c r="A16" s="24"/>
      <c r="B16" s="198" t="s">
        <v>165</v>
      </c>
      <c r="C16" s="199"/>
      <c r="D16" s="199"/>
      <c r="E16" s="199"/>
      <c r="F16" s="199"/>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row>
    <row r="17" spans="1:52" ht="18" x14ac:dyDescent="0.45">
      <c r="A17" s="8"/>
      <c r="B17" s="191"/>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row>
    <row r="18" spans="1:52" ht="18" x14ac:dyDescent="0.45">
      <c r="A18" s="8"/>
      <c r="C18" s="127"/>
      <c r="D18" s="8" t="s">
        <v>166</v>
      </c>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row>
    <row r="19" spans="1:52" ht="18" x14ac:dyDescent="0.45">
      <c r="A19" s="8"/>
      <c r="B19" s="191"/>
      <c r="C19" s="195"/>
      <c r="D19" s="8" t="s">
        <v>167</v>
      </c>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row>
    <row r="20" spans="1:52" ht="18" x14ac:dyDescent="0.45">
      <c r="A20" s="8"/>
      <c r="B20" s="191"/>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row>
    <row r="21" spans="1:52" s="21" customFormat="1" ht="35.5" thickBot="1" x14ac:dyDescent="1">
      <c r="A21" s="24"/>
      <c r="B21" s="198" t="s">
        <v>164</v>
      </c>
      <c r="C21" s="199"/>
      <c r="D21" s="199"/>
      <c r="E21" s="199"/>
      <c r="F21" s="199"/>
      <c r="G21" s="199"/>
      <c r="H21" s="199"/>
      <c r="I21" s="199"/>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row>
    <row r="22" spans="1:52" ht="18" x14ac:dyDescent="0.45">
      <c r="A22" s="8"/>
      <c r="B22" s="191"/>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row>
    <row r="23" spans="1:52" ht="18" x14ac:dyDescent="0.45">
      <c r="A23" s="8"/>
      <c r="B23" s="191"/>
      <c r="C23" s="191" t="s">
        <v>163</v>
      </c>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row>
    <row r="24" spans="1:52" ht="18" x14ac:dyDescent="0.45">
      <c r="A24" s="8"/>
      <c r="B24" s="191"/>
      <c r="C24" s="191"/>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row>
    <row r="25" spans="1:52" ht="18" x14ac:dyDescent="0.45">
      <c r="A25" s="8"/>
      <c r="B25" s="191"/>
      <c r="C25" s="191" t="s">
        <v>155</v>
      </c>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row>
    <row r="26" spans="1:52" ht="18" x14ac:dyDescent="0.45">
      <c r="A26" s="8"/>
      <c r="B26" s="191"/>
      <c r="C26" s="192" t="s">
        <v>168</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row>
    <row r="27" spans="1:52" ht="18" x14ac:dyDescent="0.45">
      <c r="A27" s="8"/>
      <c r="B27" s="191"/>
      <c r="C27" s="192" t="s">
        <v>169</v>
      </c>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52" ht="18" x14ac:dyDescent="0.45">
      <c r="A28" s="8"/>
      <c r="B28" s="191"/>
      <c r="C28" s="192" t="s">
        <v>156</v>
      </c>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row>
    <row r="29" spans="1:52" ht="18" x14ac:dyDescent="0.45">
      <c r="A29" s="8"/>
      <c r="B29" s="191"/>
      <c r="C29" s="193" t="s">
        <v>171</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row>
    <row r="30" spans="1:52" ht="18" x14ac:dyDescent="0.45">
      <c r="A30" s="8"/>
      <c r="B30" s="191"/>
      <c r="C30" s="193" t="s">
        <v>172</v>
      </c>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row>
    <row r="31" spans="1:52" ht="18" x14ac:dyDescent="0.45">
      <c r="A31" s="8"/>
      <c r="B31" s="191"/>
      <c r="C31" s="193" t="s">
        <v>173</v>
      </c>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row>
    <row r="32" spans="1:52" ht="18" x14ac:dyDescent="0.45">
      <c r="A32" s="8"/>
      <c r="B32" s="191"/>
      <c r="C32" s="193" t="s">
        <v>174</v>
      </c>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row>
    <row r="33" spans="1:52" ht="18" x14ac:dyDescent="0.45">
      <c r="A33" s="8"/>
      <c r="B33" s="191"/>
      <c r="C33" s="193" t="s">
        <v>178</v>
      </c>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row>
    <row r="34" spans="1:52" ht="18" x14ac:dyDescent="0.45">
      <c r="A34" s="8"/>
      <c r="B34" s="191"/>
      <c r="C34" s="192" t="s">
        <v>177</v>
      </c>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row>
    <row r="35" spans="1:52" ht="18" x14ac:dyDescent="0.45">
      <c r="A35" s="8"/>
      <c r="B35" s="191"/>
      <c r="C35" s="192" t="s">
        <v>176</v>
      </c>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row>
    <row r="36" spans="1:52" ht="18" x14ac:dyDescent="0.45">
      <c r="A36" s="8"/>
      <c r="B36" s="191"/>
      <c r="C36" s="192" t="s">
        <v>175</v>
      </c>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row>
    <row r="37" spans="1:52" ht="18" x14ac:dyDescent="0.45">
      <c r="A37" s="8"/>
      <c r="B37" s="191"/>
      <c r="C37" s="191"/>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row>
    <row r="38" spans="1:52" ht="18" x14ac:dyDescent="0.45">
      <c r="A38" s="8"/>
      <c r="B38" s="19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row>
    <row r="39" spans="1:52" x14ac:dyDescent="0.4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row>
    <row r="40" spans="1:52" x14ac:dyDescent="0.45">
      <c r="A40" s="8"/>
      <c r="B40" s="19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row>
    <row r="41" spans="1:52" x14ac:dyDescent="0.4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row>
    <row r="42" spans="1:52" x14ac:dyDescent="0.4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row>
    <row r="43" spans="1:52" ht="18" x14ac:dyDescent="0.45">
      <c r="A43" s="8"/>
      <c r="B43" s="191"/>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row>
    <row r="44" spans="1:52" x14ac:dyDescent="0.4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row>
    <row r="45" spans="1:52" x14ac:dyDescent="0.4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row>
    <row r="46" spans="1:52" x14ac:dyDescent="0.4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row>
    <row r="47" spans="1:52" x14ac:dyDescent="0.4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row>
    <row r="48" spans="1:52" x14ac:dyDescent="0.4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row>
    <row r="49" spans="1:52" x14ac:dyDescent="0.4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row>
    <row r="50" spans="1:52" x14ac:dyDescent="0.4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row>
    <row r="51" spans="1:52" x14ac:dyDescent="0.4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row>
    <row r="52" spans="1:52" x14ac:dyDescent="0.4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row>
    <row r="53" spans="1:52" x14ac:dyDescent="0.4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row>
    <row r="54" spans="1:52" x14ac:dyDescent="0.4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row>
    <row r="55" spans="1:52" x14ac:dyDescent="0.4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row>
    <row r="56" spans="1:52" x14ac:dyDescent="0.4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row>
    <row r="57" spans="1:52" x14ac:dyDescent="0.4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row>
    <row r="58" spans="1:52" x14ac:dyDescent="0.4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row>
    <row r="59" spans="1:52" x14ac:dyDescent="0.4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row>
    <row r="60" spans="1:52" x14ac:dyDescent="0.4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row>
    <row r="61" spans="1:52" x14ac:dyDescent="0.4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6E37C-BE14-4D26-80A9-84EB4A5B3E84}">
  <sheetPr>
    <tabColor theme="3"/>
  </sheetPr>
  <dimension ref="A1:AZ116"/>
  <sheetViews>
    <sheetView showGridLines="0" topLeftCell="E77" zoomScale="70" zoomScaleNormal="70" workbookViewId="0">
      <selection activeCell="AB56" sqref="AB56"/>
    </sheetView>
  </sheetViews>
  <sheetFormatPr defaultColWidth="8.84375" defaultRowHeight="18" x14ac:dyDescent="0.5"/>
  <cols>
    <col min="1" max="1" width="5.84375" style="21" customWidth="1"/>
    <col min="2" max="2" width="9.69140625" style="21" customWidth="1"/>
    <col min="3" max="3" width="43.3046875" style="21" customWidth="1"/>
    <col min="4" max="4" width="13.69140625" style="21" customWidth="1"/>
    <col min="5" max="5" width="16.07421875" style="21" customWidth="1"/>
    <col min="6" max="6" width="26.3046875" style="21" customWidth="1"/>
    <col min="7" max="7" width="14.765625" style="21" customWidth="1"/>
    <col min="8" max="8" width="12.84375" style="21" customWidth="1"/>
    <col min="9" max="9" width="4.3046875" style="21" customWidth="1"/>
    <col min="10" max="10" width="16" style="21" customWidth="1"/>
    <col min="11" max="11" width="10.23046875" style="21" customWidth="1"/>
    <col min="12" max="12" width="33.84375" style="21" customWidth="1"/>
    <col min="13" max="15" width="10.23046875" style="21" bestFit="1" customWidth="1"/>
    <col min="16" max="16" width="9.07421875" style="21" customWidth="1"/>
    <col min="17" max="17" width="31" style="21" customWidth="1"/>
    <col min="18" max="19" width="10.23046875" style="21" bestFit="1" customWidth="1"/>
    <col min="20" max="20" width="20.69140625" style="21" customWidth="1"/>
    <col min="21" max="21" width="14.84375" style="21" customWidth="1"/>
    <col min="22" max="32" width="10.23046875" style="21" bestFit="1" customWidth="1"/>
    <col min="33" max="33" width="11.69140625" style="21" customWidth="1"/>
    <col min="34" max="16384" width="8.84375" style="21"/>
  </cols>
  <sheetData>
    <row r="1" spans="1:52" ht="31.5" x14ac:dyDescent="0.5">
      <c r="A1" s="17"/>
      <c r="B1" s="133" t="s">
        <v>158</v>
      </c>
      <c r="C1" s="18"/>
      <c r="D1" s="19"/>
      <c r="E1" s="19"/>
      <c r="F1" s="19"/>
      <c r="G1" s="19"/>
      <c r="H1" s="19"/>
      <c r="I1" s="17"/>
      <c r="J1" s="19"/>
      <c r="K1" s="19"/>
      <c r="L1" s="19"/>
      <c r="M1" s="19"/>
      <c r="N1" s="19"/>
      <c r="O1" s="19"/>
      <c r="P1" s="19"/>
      <c r="Q1" s="19"/>
      <c r="R1" s="19"/>
      <c r="S1" s="20"/>
      <c r="T1" s="20"/>
      <c r="U1" s="20"/>
    </row>
    <row r="2" spans="1:52" ht="25.5" x14ac:dyDescent="0.5">
      <c r="A2" s="22"/>
      <c r="B2" s="176" t="s">
        <v>2</v>
      </c>
      <c r="C2" s="23"/>
      <c r="D2" s="22"/>
      <c r="E2" s="22"/>
      <c r="F2" s="22"/>
      <c r="G2" s="22"/>
      <c r="H2" s="22"/>
      <c r="I2" s="22"/>
      <c r="J2" s="22"/>
      <c r="K2" s="22"/>
      <c r="L2" s="22"/>
      <c r="M2" s="22"/>
      <c r="N2" s="22"/>
      <c r="O2" s="22"/>
      <c r="P2" s="22"/>
      <c r="Q2" s="22"/>
      <c r="R2" s="22"/>
      <c r="S2" s="20"/>
      <c r="T2" s="20"/>
      <c r="U2" s="20"/>
    </row>
    <row r="3" spans="1:52" x14ac:dyDescent="0.5">
      <c r="A3" s="24"/>
      <c r="B3" s="24"/>
      <c r="C3" s="24"/>
      <c r="D3" s="24"/>
      <c r="E3" s="24"/>
      <c r="F3" s="24"/>
      <c r="G3" s="24"/>
      <c r="H3" s="24"/>
      <c r="I3" s="24"/>
      <c r="J3" s="24"/>
      <c r="K3" s="24"/>
      <c r="L3" s="24"/>
      <c r="M3" s="24"/>
      <c r="N3" s="24"/>
      <c r="O3" s="24"/>
      <c r="P3" s="24"/>
      <c r="Q3" s="24"/>
      <c r="R3" s="24"/>
      <c r="S3" s="24"/>
      <c r="T3" s="24"/>
      <c r="U3" s="24"/>
    </row>
    <row r="4" spans="1:52" x14ac:dyDescent="0.5">
      <c r="A4" s="24"/>
      <c r="B4" s="24"/>
      <c r="C4" s="24"/>
      <c r="D4" s="24"/>
      <c r="E4" s="24"/>
      <c r="F4" s="24"/>
      <c r="G4" s="24"/>
      <c r="H4" s="24"/>
      <c r="I4" s="24"/>
      <c r="J4" s="24"/>
      <c r="K4" s="24"/>
      <c r="L4" s="24"/>
      <c r="M4" s="24"/>
      <c r="N4" s="24"/>
      <c r="O4" s="24"/>
      <c r="P4" s="24"/>
      <c r="Q4" s="24"/>
      <c r="R4" s="24"/>
      <c r="S4" s="24"/>
      <c r="T4" s="24"/>
      <c r="U4" s="24"/>
    </row>
    <row r="5" spans="1:52" x14ac:dyDescent="0.5">
      <c r="A5" s="24"/>
      <c r="B5" s="24"/>
      <c r="C5" s="24"/>
      <c r="D5" s="24"/>
      <c r="E5" s="24"/>
      <c r="F5" s="24"/>
      <c r="G5" s="24"/>
      <c r="H5" s="24"/>
      <c r="I5" s="24"/>
      <c r="J5" s="24"/>
      <c r="K5" s="24"/>
      <c r="L5" s="24"/>
      <c r="M5" s="24"/>
      <c r="N5" s="24"/>
      <c r="O5" s="24"/>
      <c r="P5" s="24"/>
      <c r="Q5" s="24"/>
      <c r="R5" s="24"/>
      <c r="S5" s="24"/>
      <c r="T5" s="24"/>
      <c r="U5" s="24"/>
    </row>
    <row r="6" spans="1:52" x14ac:dyDescent="0.5">
      <c r="A6" s="24"/>
      <c r="B6" s="24"/>
      <c r="C6" s="24"/>
      <c r="D6" s="24"/>
      <c r="E6" s="24"/>
      <c r="F6" s="24"/>
      <c r="G6" s="24"/>
      <c r="H6" s="24"/>
      <c r="I6" s="24"/>
      <c r="J6" s="24"/>
      <c r="K6" s="24"/>
      <c r="L6" s="24"/>
      <c r="M6" s="24"/>
      <c r="N6" s="24"/>
      <c r="O6" s="24"/>
      <c r="P6" s="24"/>
      <c r="Q6" s="24"/>
      <c r="R6" s="24"/>
      <c r="S6" s="24"/>
      <c r="T6" s="24"/>
      <c r="U6" s="24"/>
    </row>
    <row r="7" spans="1:52" ht="35.5" thickBot="1" x14ac:dyDescent="1">
      <c r="A7" s="24"/>
      <c r="B7" s="198" t="s">
        <v>2</v>
      </c>
      <c r="C7" s="199"/>
      <c r="D7" s="200"/>
      <c r="E7" s="200"/>
      <c r="F7" s="200"/>
      <c r="G7" s="200"/>
      <c r="H7" s="200"/>
      <c r="I7" s="200"/>
      <c r="J7" s="200"/>
      <c r="K7" s="200"/>
      <c r="L7" s="200"/>
      <c r="M7" s="200"/>
      <c r="N7" s="200"/>
      <c r="O7" s="200"/>
      <c r="P7" s="200"/>
      <c r="Q7" s="200"/>
      <c r="R7" s="200"/>
      <c r="S7" s="200"/>
      <c r="T7" s="200"/>
      <c r="U7" s="200"/>
      <c r="V7" s="213"/>
      <c r="W7" s="214"/>
      <c r="X7" s="214"/>
      <c r="Y7" s="214"/>
      <c r="Z7" s="214"/>
      <c r="AA7" s="214"/>
      <c r="AB7" s="214"/>
      <c r="AC7" s="214"/>
      <c r="AD7" s="214"/>
      <c r="AE7" s="214"/>
      <c r="AF7" s="214"/>
      <c r="AG7" s="214"/>
      <c r="AH7" s="214"/>
      <c r="AI7" s="214"/>
      <c r="AJ7" s="214"/>
      <c r="AK7" s="214"/>
      <c r="AL7" s="214"/>
      <c r="AM7" s="214"/>
      <c r="AN7" s="214"/>
      <c r="AO7" s="214"/>
      <c r="AP7" s="214"/>
      <c r="AQ7" s="214"/>
      <c r="AR7" s="214"/>
      <c r="AS7" s="214"/>
      <c r="AT7" s="214"/>
      <c r="AU7" s="214"/>
      <c r="AV7" s="214"/>
      <c r="AW7" s="214"/>
      <c r="AX7" s="214"/>
      <c r="AY7" s="214"/>
      <c r="AZ7" s="214"/>
    </row>
    <row r="8" spans="1:52" x14ac:dyDescent="0.5">
      <c r="A8" s="24"/>
      <c r="B8" s="25"/>
      <c r="C8" s="25"/>
      <c r="D8" s="25"/>
      <c r="E8" s="25"/>
      <c r="F8" s="25"/>
      <c r="G8" s="25"/>
      <c r="H8" s="25"/>
      <c r="I8" s="25"/>
      <c r="J8" s="25"/>
      <c r="K8" s="25"/>
      <c r="L8" s="25"/>
      <c r="M8" s="25"/>
      <c r="N8" s="25"/>
      <c r="O8" s="25"/>
      <c r="P8" s="25"/>
      <c r="Q8" s="25"/>
      <c r="R8" s="25"/>
      <c r="S8" s="25"/>
      <c r="T8" s="25"/>
      <c r="U8" s="25"/>
    </row>
    <row r="9" spans="1:52" x14ac:dyDescent="0.5">
      <c r="A9" s="24"/>
      <c r="B9" s="26" t="s">
        <v>31</v>
      </c>
      <c r="C9" s="25"/>
      <c r="D9" s="25"/>
      <c r="E9" s="25"/>
      <c r="F9" s="25"/>
      <c r="G9" s="25"/>
      <c r="H9" s="25"/>
      <c r="I9" s="25"/>
      <c r="J9" s="25"/>
      <c r="K9" s="25"/>
      <c r="L9" s="25"/>
      <c r="M9" s="25"/>
      <c r="N9" s="25"/>
      <c r="O9" s="25"/>
      <c r="P9" s="25"/>
      <c r="Q9" s="25"/>
      <c r="R9" s="25"/>
      <c r="S9" s="25"/>
      <c r="T9" s="25"/>
      <c r="U9" s="25"/>
    </row>
    <row r="10" spans="1:52" x14ac:dyDescent="0.5">
      <c r="A10" s="24"/>
      <c r="B10" s="26"/>
      <c r="C10" s="25"/>
      <c r="D10" s="25"/>
      <c r="E10" s="25"/>
      <c r="F10" s="25"/>
      <c r="G10" s="25"/>
      <c r="H10" s="25"/>
      <c r="I10" s="25"/>
      <c r="J10" s="25"/>
      <c r="K10" s="25"/>
      <c r="L10" s="25"/>
      <c r="M10" s="25"/>
      <c r="N10" s="25"/>
      <c r="O10" s="25"/>
      <c r="P10" s="25"/>
      <c r="Q10" s="25"/>
      <c r="R10" s="25"/>
      <c r="S10" s="25"/>
      <c r="T10" s="25"/>
      <c r="U10" s="25"/>
    </row>
    <row r="11" spans="1:52" x14ac:dyDescent="0.5">
      <c r="A11" s="24"/>
      <c r="C11" s="27" t="s">
        <v>3</v>
      </c>
      <c r="D11" s="28" t="s">
        <v>17</v>
      </c>
      <c r="E11" s="29" t="s">
        <v>30</v>
      </c>
      <c r="F11" s="131">
        <v>0.05</v>
      </c>
      <c r="G11" s="30"/>
      <c r="H11" s="31" t="s">
        <v>32</v>
      </c>
      <c r="I11" s="25"/>
      <c r="J11" s="25"/>
      <c r="K11" s="25"/>
      <c r="L11" s="25"/>
      <c r="M11" s="25"/>
      <c r="N11" s="25"/>
      <c r="O11" s="25"/>
      <c r="P11" s="25"/>
      <c r="Q11" s="25"/>
      <c r="R11" s="25"/>
      <c r="S11" s="25"/>
      <c r="T11" s="25"/>
      <c r="U11" s="25"/>
    </row>
    <row r="12" spans="1:52" x14ac:dyDescent="0.5">
      <c r="A12" s="24"/>
      <c r="C12" s="25"/>
      <c r="D12" s="32"/>
      <c r="E12" s="29"/>
      <c r="F12" s="25"/>
      <c r="G12" s="25"/>
      <c r="H12" s="25"/>
      <c r="I12" s="25"/>
      <c r="J12" s="25"/>
      <c r="K12" s="25"/>
      <c r="L12" s="25"/>
      <c r="M12" s="25"/>
      <c r="N12" s="25"/>
      <c r="O12" s="25"/>
      <c r="P12" s="25"/>
      <c r="Q12" s="25"/>
      <c r="R12" s="25"/>
      <c r="S12" s="25"/>
      <c r="T12" s="25"/>
      <c r="U12" s="25"/>
    </row>
    <row r="13" spans="1:52" x14ac:dyDescent="0.5">
      <c r="A13" s="24"/>
      <c r="C13" s="27" t="s">
        <v>120</v>
      </c>
      <c r="D13" s="28" t="s">
        <v>121</v>
      </c>
      <c r="E13" s="29"/>
      <c r="F13" s="127" t="s">
        <v>44</v>
      </c>
      <c r="G13" s="25"/>
      <c r="I13" s="25"/>
      <c r="J13" s="25"/>
      <c r="K13" s="25"/>
      <c r="L13" s="25"/>
      <c r="M13" s="25"/>
      <c r="N13" s="25"/>
      <c r="O13" s="25"/>
      <c r="P13" s="25"/>
      <c r="Q13" s="25"/>
      <c r="R13" s="25"/>
      <c r="S13" s="25"/>
      <c r="T13" s="25"/>
      <c r="U13" s="25"/>
    </row>
    <row r="14" spans="1:52" x14ac:dyDescent="0.5">
      <c r="A14" s="24"/>
      <c r="C14" s="27" t="s">
        <v>33</v>
      </c>
      <c r="D14" s="28" t="s">
        <v>34</v>
      </c>
      <c r="E14" s="29" t="s">
        <v>30</v>
      </c>
      <c r="F14" s="131">
        <v>0</v>
      </c>
      <c r="G14" s="25"/>
      <c r="H14" s="25"/>
      <c r="I14" s="25"/>
      <c r="J14" s="25"/>
      <c r="K14" s="25"/>
      <c r="L14" s="25"/>
      <c r="M14" s="25"/>
      <c r="N14" s="25"/>
      <c r="O14" s="25"/>
      <c r="P14" s="25"/>
      <c r="Q14" s="25"/>
      <c r="R14" s="25"/>
      <c r="S14" s="25"/>
      <c r="T14" s="25"/>
      <c r="U14" s="25"/>
    </row>
    <row r="15" spans="1:52" s="25" customFormat="1" x14ac:dyDescent="0.5">
      <c r="A15" s="24"/>
      <c r="D15" s="28"/>
      <c r="E15" s="29"/>
    </row>
    <row r="16" spans="1:52" x14ac:dyDescent="0.5">
      <c r="A16" s="24"/>
      <c r="B16" s="26" t="s">
        <v>104</v>
      </c>
      <c r="C16" s="25"/>
      <c r="D16" s="25"/>
      <c r="E16" s="25"/>
      <c r="F16" s="25"/>
      <c r="G16" s="25"/>
      <c r="H16" s="25"/>
      <c r="I16" s="25"/>
      <c r="J16" s="25"/>
      <c r="K16" s="25"/>
      <c r="L16" s="25"/>
      <c r="M16" s="25"/>
      <c r="N16" s="25"/>
      <c r="O16" s="25"/>
      <c r="P16" s="25"/>
      <c r="Q16" s="25"/>
      <c r="R16" s="25"/>
      <c r="S16" s="25"/>
      <c r="T16" s="25"/>
      <c r="U16" s="25"/>
    </row>
    <row r="17" spans="1:52" x14ac:dyDescent="0.5">
      <c r="A17" s="24"/>
      <c r="C17" s="27" t="str">
        <f>C25&amp;": shock"</f>
        <v>Network upgrade name: shock</v>
      </c>
      <c r="D17" s="28" t="s">
        <v>122</v>
      </c>
      <c r="E17" s="29" t="s">
        <v>35</v>
      </c>
      <c r="F17" s="127"/>
      <c r="G17" s="25"/>
      <c r="H17" s="31"/>
      <c r="I17" s="25"/>
      <c r="J17" s="34"/>
      <c r="K17" s="25"/>
      <c r="L17" s="25"/>
      <c r="M17" s="25"/>
      <c r="N17" s="25"/>
      <c r="O17" s="25"/>
      <c r="P17" s="25"/>
      <c r="Q17" s="25"/>
      <c r="R17" s="25"/>
      <c r="S17" s="25"/>
      <c r="T17" s="25"/>
      <c r="U17" s="25"/>
    </row>
    <row r="18" spans="1:52" x14ac:dyDescent="0.5">
      <c r="A18" s="24"/>
      <c r="C18" s="27" t="str">
        <f t="shared" ref="C18:C19" si="0">C26&amp;": shock"</f>
        <v>Sewerage treatment plant upgrade name: shock</v>
      </c>
      <c r="D18" s="28" t="s">
        <v>123</v>
      </c>
      <c r="E18" s="29" t="s">
        <v>35</v>
      </c>
      <c r="F18" s="127"/>
      <c r="G18" s="25"/>
      <c r="H18" s="31"/>
      <c r="I18" s="25"/>
      <c r="J18" s="34"/>
      <c r="K18" s="25"/>
      <c r="L18" s="25"/>
      <c r="M18" s="25"/>
      <c r="N18" s="25"/>
      <c r="O18" s="25"/>
      <c r="P18" s="25"/>
      <c r="Q18" s="25"/>
      <c r="R18" s="25"/>
      <c r="S18" s="25"/>
      <c r="T18" s="25"/>
      <c r="U18" s="25"/>
    </row>
    <row r="19" spans="1:52" x14ac:dyDescent="0.5">
      <c r="A19" s="24"/>
      <c r="C19" s="27" t="str">
        <f t="shared" si="0"/>
        <v>Discharge / ocean outfall upgrade name: shock</v>
      </c>
      <c r="D19" s="28" t="s">
        <v>124</v>
      </c>
      <c r="E19" s="29" t="s">
        <v>35</v>
      </c>
      <c r="F19" s="127"/>
      <c r="G19" s="25"/>
      <c r="H19" s="31"/>
      <c r="I19" s="25"/>
      <c r="J19" s="34"/>
      <c r="K19" s="25"/>
      <c r="L19" s="25"/>
      <c r="M19" s="25"/>
      <c r="N19" s="25"/>
      <c r="O19" s="25"/>
      <c r="P19" s="25"/>
      <c r="Q19" s="25"/>
      <c r="R19" s="25"/>
      <c r="S19" s="25"/>
      <c r="T19" s="25"/>
      <c r="U19" s="25"/>
    </row>
    <row r="20" spans="1:52" x14ac:dyDescent="0.5">
      <c r="A20" s="24"/>
      <c r="C20" s="25"/>
      <c r="D20" s="25"/>
      <c r="E20" s="25"/>
      <c r="F20" s="25"/>
      <c r="G20" s="25"/>
      <c r="H20" s="25"/>
      <c r="I20" s="25"/>
      <c r="J20" s="25"/>
      <c r="K20" s="25"/>
      <c r="L20" s="25"/>
      <c r="M20" s="25"/>
      <c r="N20" s="25"/>
      <c r="O20" s="25"/>
      <c r="P20" s="25"/>
      <c r="Q20" s="25"/>
      <c r="R20" s="25"/>
      <c r="S20" s="25"/>
      <c r="T20" s="25"/>
      <c r="U20" s="25"/>
    </row>
    <row r="21" spans="1:52" x14ac:dyDescent="0.5">
      <c r="A21" s="24"/>
      <c r="B21" s="25"/>
      <c r="C21" s="25"/>
      <c r="D21" s="35"/>
      <c r="E21" s="35"/>
      <c r="F21" s="25"/>
      <c r="G21" s="25"/>
      <c r="H21" s="25"/>
      <c r="I21" s="25"/>
      <c r="J21" s="25"/>
      <c r="K21" s="25"/>
      <c r="L21" s="25"/>
      <c r="M21" s="25"/>
      <c r="N21" s="25"/>
      <c r="O21" s="25"/>
      <c r="P21" s="25"/>
      <c r="Q21" s="25"/>
      <c r="R21" s="25"/>
      <c r="S21" s="25"/>
      <c r="T21" s="25"/>
      <c r="U21" s="25"/>
    </row>
    <row r="22" spans="1:52" ht="35.5" thickBot="1" x14ac:dyDescent="1">
      <c r="A22" s="24"/>
      <c r="B22" s="198" t="s">
        <v>103</v>
      </c>
      <c r="C22" s="199"/>
      <c r="D22" s="199"/>
      <c r="E22" s="199"/>
      <c r="F22" s="199"/>
      <c r="G22" s="200"/>
      <c r="H22" s="200"/>
      <c r="I22" s="200"/>
      <c r="J22" s="200"/>
      <c r="K22" s="200"/>
      <c r="L22" s="200"/>
      <c r="M22" s="200"/>
      <c r="N22" s="200"/>
      <c r="O22" s="200"/>
      <c r="P22" s="200"/>
      <c r="Q22" s="200"/>
      <c r="R22" s="200"/>
      <c r="S22" s="200"/>
      <c r="T22" s="200"/>
      <c r="U22" s="200"/>
      <c r="V22" s="213"/>
      <c r="W22" s="214"/>
      <c r="X22" s="214"/>
      <c r="Y22" s="214"/>
      <c r="Z22" s="214"/>
      <c r="AA22" s="214"/>
      <c r="AB22" s="214"/>
      <c r="AC22" s="214"/>
      <c r="AD22" s="214"/>
      <c r="AE22" s="214"/>
      <c r="AF22" s="214"/>
      <c r="AG22" s="214"/>
      <c r="AH22" s="214"/>
      <c r="AI22" s="214"/>
      <c r="AJ22" s="214"/>
      <c r="AK22" s="214"/>
      <c r="AL22" s="214"/>
      <c r="AM22" s="214"/>
      <c r="AN22" s="214"/>
      <c r="AO22" s="214"/>
      <c r="AP22" s="214"/>
      <c r="AQ22" s="214"/>
      <c r="AR22" s="214"/>
      <c r="AS22" s="214"/>
      <c r="AT22" s="214"/>
      <c r="AU22" s="214"/>
      <c r="AV22" s="214"/>
      <c r="AW22" s="214"/>
      <c r="AX22" s="214"/>
      <c r="AY22" s="214"/>
      <c r="AZ22" s="214"/>
    </row>
    <row r="23" spans="1:52" x14ac:dyDescent="0.5">
      <c r="A23" s="25"/>
      <c r="B23" s="25"/>
      <c r="C23" s="25"/>
      <c r="D23" s="25"/>
      <c r="E23" s="25"/>
      <c r="F23" s="25"/>
      <c r="G23" s="25"/>
      <c r="H23" s="25"/>
      <c r="I23" s="25"/>
      <c r="J23" s="25"/>
      <c r="K23" s="25"/>
      <c r="L23" s="25"/>
      <c r="M23" s="25"/>
      <c r="N23" s="25"/>
      <c r="O23" s="25"/>
      <c r="P23" s="25"/>
      <c r="Q23" s="25"/>
      <c r="R23" s="25"/>
      <c r="S23" s="25"/>
      <c r="T23" s="25"/>
      <c r="U23" s="25"/>
    </row>
    <row r="24" spans="1:52" x14ac:dyDescent="0.5">
      <c r="A24" s="25"/>
      <c r="B24" s="25"/>
      <c r="C24" s="25"/>
      <c r="D24" s="25"/>
      <c r="E24" s="25"/>
      <c r="F24" s="25"/>
      <c r="G24" s="25"/>
      <c r="H24" s="25"/>
      <c r="I24" s="25"/>
      <c r="J24" s="25"/>
      <c r="K24" s="25"/>
      <c r="L24" s="25"/>
      <c r="M24" s="25"/>
      <c r="N24" s="25"/>
      <c r="O24" s="25"/>
      <c r="P24" s="25"/>
      <c r="Q24" s="25"/>
      <c r="R24" s="25"/>
      <c r="S24" s="25"/>
      <c r="T24" s="25"/>
      <c r="U24" s="25"/>
    </row>
    <row r="25" spans="1:52" ht="22" x14ac:dyDescent="0.6">
      <c r="A25" s="25"/>
      <c r="B25" s="36"/>
      <c r="C25" s="27" t="str" cm="1">
        <f t="array" ref="C25:C27">assetnames</f>
        <v>Network upgrade name</v>
      </c>
      <c r="D25" s="25"/>
      <c r="E25" s="29" t="s">
        <v>1</v>
      </c>
      <c r="F25" s="33"/>
      <c r="G25" s="25"/>
      <c r="H25" s="25"/>
      <c r="I25" s="25"/>
      <c r="J25" s="25"/>
      <c r="K25" s="25"/>
      <c r="L25" s="25"/>
      <c r="M25" s="25"/>
      <c r="N25" s="25"/>
      <c r="O25" s="25"/>
      <c r="P25" s="25"/>
      <c r="Q25" s="25"/>
      <c r="R25" s="25"/>
      <c r="S25" s="25"/>
      <c r="T25" s="25"/>
    </row>
    <row r="26" spans="1:52" x14ac:dyDescent="0.5">
      <c r="A26" s="25"/>
      <c r="B26" s="37"/>
      <c r="C26" s="27" t="str">
        <v>Sewerage treatment plant upgrade name</v>
      </c>
      <c r="D26" s="25"/>
      <c r="E26" s="29" t="s">
        <v>1</v>
      </c>
      <c r="F26" s="33"/>
      <c r="G26" s="25"/>
      <c r="H26" s="25"/>
      <c r="I26" s="25"/>
      <c r="J26" s="25"/>
      <c r="K26" s="25"/>
      <c r="L26" s="25"/>
      <c r="M26" s="25"/>
      <c r="N26" s="25"/>
      <c r="O26" s="25"/>
      <c r="P26" s="25"/>
      <c r="Q26" s="25"/>
      <c r="R26" s="25"/>
      <c r="S26" s="25"/>
      <c r="T26" s="25"/>
    </row>
    <row r="27" spans="1:52" x14ac:dyDescent="0.5">
      <c r="A27" s="25"/>
      <c r="B27" s="37"/>
      <c r="C27" s="25" t="str">
        <v>Discharge / ocean outfall upgrade name</v>
      </c>
      <c r="D27" s="25"/>
      <c r="E27" s="29" t="s">
        <v>1</v>
      </c>
      <c r="F27" s="33"/>
      <c r="G27" s="25"/>
      <c r="H27" s="25"/>
      <c r="I27" s="25"/>
      <c r="J27" s="25"/>
      <c r="K27" s="25"/>
      <c r="L27" s="25"/>
      <c r="M27" s="25"/>
      <c r="N27" s="25"/>
      <c r="O27" s="25"/>
      <c r="P27" s="25"/>
      <c r="Q27" s="25"/>
      <c r="R27" s="25"/>
      <c r="S27" s="25"/>
      <c r="T27" s="25"/>
    </row>
    <row r="28" spans="1:52" x14ac:dyDescent="0.5">
      <c r="A28" s="25"/>
      <c r="B28" s="25"/>
      <c r="C28" s="25"/>
      <c r="D28" s="25"/>
      <c r="E28" s="25"/>
      <c r="F28" s="25"/>
      <c r="G28" s="25"/>
      <c r="H28" s="25"/>
      <c r="I28" s="25"/>
      <c r="J28" s="25"/>
      <c r="K28" s="25"/>
      <c r="L28" s="25"/>
      <c r="M28" s="25"/>
      <c r="N28" s="25"/>
      <c r="O28" s="25"/>
      <c r="P28" s="25"/>
      <c r="Q28" s="25"/>
      <c r="R28" s="25"/>
      <c r="S28" s="25"/>
      <c r="T28" s="25"/>
    </row>
    <row r="29" spans="1:52" ht="22" x14ac:dyDescent="0.6">
      <c r="A29" s="25"/>
      <c r="B29" s="25"/>
      <c r="C29" s="36"/>
      <c r="D29" s="25"/>
      <c r="E29" s="25"/>
      <c r="F29" s="25"/>
      <c r="G29" s="25"/>
      <c r="H29" s="25"/>
      <c r="I29" s="25"/>
      <c r="J29" s="25"/>
      <c r="K29" s="25"/>
      <c r="L29" s="25"/>
      <c r="M29" s="25"/>
      <c r="N29" s="25"/>
      <c r="O29" s="25"/>
      <c r="P29" s="25"/>
      <c r="Q29" s="25"/>
      <c r="R29" s="25"/>
      <c r="S29" s="25"/>
      <c r="T29" s="25"/>
      <c r="U29" s="25"/>
    </row>
    <row r="30" spans="1:52" ht="35.5" thickBot="1" x14ac:dyDescent="1">
      <c r="A30" s="24"/>
      <c r="B30" s="198" t="s">
        <v>39</v>
      </c>
      <c r="C30" s="199"/>
      <c r="D30" s="199"/>
      <c r="E30" s="199"/>
      <c r="F30" s="200"/>
      <c r="G30" s="200"/>
      <c r="H30" s="200"/>
      <c r="I30" s="200"/>
      <c r="J30" s="200"/>
      <c r="K30" s="200"/>
      <c r="L30" s="200"/>
      <c r="M30" s="200"/>
      <c r="N30" s="200"/>
      <c r="O30" s="200"/>
      <c r="P30" s="200"/>
      <c r="Q30" s="200"/>
      <c r="R30" s="200"/>
      <c r="S30" s="200"/>
      <c r="T30" s="200"/>
      <c r="U30" s="200"/>
      <c r="V30" s="213"/>
      <c r="W30" s="214"/>
      <c r="X30" s="214"/>
      <c r="Y30" s="214"/>
      <c r="Z30" s="214"/>
      <c r="AA30" s="214"/>
      <c r="AB30" s="214"/>
      <c r="AC30" s="214"/>
      <c r="AD30" s="214"/>
      <c r="AE30" s="214"/>
      <c r="AF30" s="214"/>
      <c r="AG30" s="214"/>
      <c r="AH30" s="214"/>
      <c r="AI30" s="214"/>
      <c r="AJ30" s="214"/>
      <c r="AK30" s="214"/>
      <c r="AL30" s="214"/>
      <c r="AM30" s="214"/>
      <c r="AN30" s="214"/>
      <c r="AO30" s="214"/>
      <c r="AP30" s="214"/>
      <c r="AQ30" s="214"/>
      <c r="AR30" s="214"/>
      <c r="AS30" s="214"/>
      <c r="AT30" s="214"/>
      <c r="AU30" s="214"/>
      <c r="AV30" s="214"/>
      <c r="AW30" s="214"/>
      <c r="AX30" s="214"/>
      <c r="AY30" s="214"/>
      <c r="AZ30" s="214"/>
    </row>
    <row r="31" spans="1:52" ht="22" x14ac:dyDescent="0.6">
      <c r="A31" s="24"/>
      <c r="B31" s="25"/>
      <c r="C31" s="25"/>
      <c r="D31" s="25"/>
      <c r="E31" s="25"/>
      <c r="F31" s="25"/>
      <c r="G31" s="25"/>
      <c r="H31" s="36"/>
      <c r="I31" s="25"/>
      <c r="J31" s="25"/>
      <c r="K31" s="25"/>
      <c r="L31" s="25"/>
      <c r="M31" s="25"/>
      <c r="N31" s="25"/>
      <c r="O31" s="25"/>
      <c r="P31" s="25"/>
      <c r="Q31" s="25"/>
      <c r="R31" s="25"/>
      <c r="S31" s="25"/>
      <c r="T31" s="25"/>
      <c r="U31" s="25"/>
    </row>
    <row r="32" spans="1:52" ht="22" x14ac:dyDescent="0.6">
      <c r="A32" s="25"/>
      <c r="B32" s="37"/>
      <c r="D32" s="38" t="s">
        <v>36</v>
      </c>
      <c r="E32" s="38" t="s">
        <v>37</v>
      </c>
      <c r="F32" s="38" t="s">
        <v>38</v>
      </c>
      <c r="G32" s="36"/>
      <c r="H32" s="25"/>
      <c r="I32" s="25"/>
      <c r="J32" s="25"/>
      <c r="K32" s="25"/>
      <c r="L32" s="25"/>
      <c r="M32" s="25"/>
      <c r="N32" s="25"/>
      <c r="O32" s="25"/>
      <c r="P32" s="25"/>
      <c r="Q32" s="25"/>
      <c r="R32" s="25"/>
      <c r="S32" s="25"/>
      <c r="T32" s="25"/>
      <c r="U32" s="25"/>
    </row>
    <row r="33" spans="1:52" ht="22" x14ac:dyDescent="0.6">
      <c r="A33" s="25"/>
      <c r="C33" s="59" t="str">
        <f>'Wastewater LRMC'!C11</f>
        <v>Network upgrade name</v>
      </c>
      <c r="D33" s="186" t="e">
        <f>AVERAGE(E33, F33)</f>
        <v>#DIV/0!</v>
      </c>
      <c r="E33" s="186" t="e">
        <f>'Wastewater LRMC'!H11</f>
        <v>#DIV/0!</v>
      </c>
      <c r="F33" s="186" t="e">
        <f>'Wastewater LRMC'!I11</f>
        <v>#DIV/0!</v>
      </c>
      <c r="G33" s="39"/>
      <c r="H33" s="40"/>
      <c r="I33" s="25"/>
      <c r="J33" s="25"/>
      <c r="K33" s="25"/>
      <c r="L33" s="25"/>
      <c r="M33" s="25"/>
      <c r="N33" s="25"/>
      <c r="O33" s="25"/>
      <c r="P33" s="25"/>
      <c r="Q33" s="25"/>
      <c r="R33" s="25"/>
      <c r="S33" s="25"/>
      <c r="T33" s="25"/>
      <c r="U33" s="25"/>
    </row>
    <row r="34" spans="1:52" ht="22" x14ac:dyDescent="0.6">
      <c r="A34" s="25"/>
      <c r="B34" s="25"/>
      <c r="C34" s="59" t="str">
        <f>'Wastewater LRMC'!C12</f>
        <v>Sewerage treatment plant upgrade name</v>
      </c>
      <c r="D34" s="186" t="e">
        <f t="shared" ref="D34:D35" si="1">AVERAGE(E34, F34)</f>
        <v>#DIV/0!</v>
      </c>
      <c r="E34" s="186" t="e">
        <f>'Wastewater LRMC'!H12</f>
        <v>#DIV/0!</v>
      </c>
      <c r="F34" s="186" t="e">
        <f>'Wastewater LRMC'!I12</f>
        <v>#DIV/0!</v>
      </c>
      <c r="G34" s="25"/>
      <c r="H34" s="25"/>
      <c r="I34" s="25"/>
      <c r="J34" s="25"/>
      <c r="K34" s="25"/>
      <c r="L34" s="25"/>
      <c r="M34" s="25"/>
      <c r="N34" s="25"/>
      <c r="O34" s="25"/>
      <c r="P34" s="25"/>
      <c r="Q34" s="25"/>
      <c r="R34" s="25"/>
      <c r="S34" s="25"/>
      <c r="T34" s="25"/>
      <c r="U34" s="25"/>
    </row>
    <row r="35" spans="1:52" ht="22" x14ac:dyDescent="0.6">
      <c r="A35" s="25"/>
      <c r="C35" s="59" t="str">
        <f>'Wastewater LRMC'!C13</f>
        <v>Discharge / ocean outfall upgrade name</v>
      </c>
      <c r="D35" s="186" t="e">
        <f t="shared" si="1"/>
        <v>#DIV/0!</v>
      </c>
      <c r="E35" s="186" t="e">
        <f>'Wastewater LRMC'!H13</f>
        <v>#DIV/0!</v>
      </c>
      <c r="F35" s="186" t="e">
        <f>'Wastewater LRMC'!I13</f>
        <v>#DIV/0!</v>
      </c>
      <c r="G35" s="25"/>
      <c r="H35" s="25"/>
      <c r="I35" s="25"/>
      <c r="J35" s="25"/>
      <c r="K35" s="25"/>
      <c r="L35" s="25"/>
      <c r="M35" s="25"/>
      <c r="N35" s="25"/>
      <c r="O35" s="25"/>
      <c r="P35" s="25"/>
      <c r="Q35" s="25"/>
      <c r="R35" s="25"/>
      <c r="S35" s="25"/>
      <c r="T35" s="25"/>
      <c r="U35" s="25"/>
    </row>
    <row r="36" spans="1:52" x14ac:dyDescent="0.5">
      <c r="A36" s="25"/>
      <c r="B36" s="25"/>
      <c r="C36" s="25"/>
      <c r="D36" s="120"/>
      <c r="E36" s="120"/>
      <c r="F36" s="120"/>
      <c r="G36" s="25"/>
      <c r="H36" s="25"/>
      <c r="I36" s="25"/>
      <c r="J36" s="25"/>
      <c r="K36" s="25"/>
      <c r="L36" s="25"/>
      <c r="M36" s="25"/>
      <c r="N36" s="25"/>
      <c r="O36" s="25"/>
      <c r="P36" s="25"/>
      <c r="Q36" s="25"/>
      <c r="R36" s="25"/>
      <c r="S36" s="25"/>
      <c r="T36" s="25"/>
      <c r="U36" s="25"/>
    </row>
    <row r="37" spans="1:52" ht="22" x14ac:dyDescent="0.6">
      <c r="A37" s="25"/>
      <c r="C37" s="36" t="s">
        <v>127</v>
      </c>
      <c r="D37" s="187" t="e">
        <f>SUM(D33:D35)</f>
        <v>#DIV/0!</v>
      </c>
      <c r="E37" s="187" t="e">
        <f t="shared" ref="E37:F37" si="2">SUM(E33:E35)</f>
        <v>#DIV/0!</v>
      </c>
      <c r="F37" s="187" t="e">
        <f t="shared" si="2"/>
        <v>#DIV/0!</v>
      </c>
      <c r="G37" s="25"/>
      <c r="H37" s="25"/>
      <c r="I37" s="25"/>
      <c r="J37" s="25"/>
      <c r="K37" s="25"/>
      <c r="L37" s="25"/>
      <c r="M37" s="25"/>
      <c r="N37" s="25"/>
      <c r="O37" s="25"/>
      <c r="P37" s="25"/>
      <c r="Q37" s="25"/>
      <c r="R37" s="25"/>
      <c r="S37" s="25"/>
      <c r="T37" s="25"/>
      <c r="U37" s="25"/>
    </row>
    <row r="38" spans="1:52" x14ac:dyDescent="0.5">
      <c r="A38" s="25"/>
      <c r="B38" s="25"/>
      <c r="C38" s="25"/>
      <c r="D38" s="25"/>
      <c r="E38" s="25"/>
      <c r="F38" s="25"/>
      <c r="G38" s="25"/>
      <c r="H38" s="25"/>
      <c r="I38" s="25"/>
      <c r="J38" s="25"/>
      <c r="K38" s="25"/>
      <c r="L38" s="25"/>
      <c r="M38" s="25"/>
      <c r="N38" s="25"/>
      <c r="O38" s="25"/>
      <c r="P38" s="25"/>
      <c r="Q38" s="25"/>
      <c r="R38" s="25"/>
      <c r="S38" s="25"/>
      <c r="T38" s="25"/>
      <c r="U38" s="25"/>
    </row>
    <row r="39" spans="1:52" x14ac:dyDescent="0.5">
      <c r="A39" s="25"/>
      <c r="B39" s="25"/>
      <c r="C39" s="25"/>
      <c r="D39" s="25"/>
      <c r="E39" s="25"/>
      <c r="F39" s="25"/>
      <c r="G39" s="25"/>
      <c r="H39" s="25"/>
      <c r="I39" s="25"/>
      <c r="J39" s="25"/>
      <c r="K39" s="25"/>
      <c r="L39" s="25"/>
      <c r="M39" s="25"/>
      <c r="N39" s="25"/>
      <c r="O39" s="25"/>
      <c r="P39" s="25"/>
      <c r="Q39" s="25"/>
      <c r="R39" s="25"/>
      <c r="S39" s="25"/>
      <c r="T39" s="25"/>
      <c r="U39" s="25"/>
    </row>
    <row r="40" spans="1:52" x14ac:dyDescent="0.5">
      <c r="A40" s="25"/>
      <c r="B40" s="25"/>
      <c r="C40" s="25"/>
      <c r="D40" s="25"/>
      <c r="E40" s="25"/>
      <c r="F40" s="25"/>
      <c r="G40" s="25"/>
      <c r="H40" s="25"/>
      <c r="I40" s="25"/>
      <c r="J40" s="25"/>
      <c r="K40" s="25"/>
      <c r="L40" s="25"/>
      <c r="M40" s="25"/>
      <c r="N40" s="25"/>
      <c r="O40" s="25"/>
      <c r="P40" s="25"/>
      <c r="Q40" s="25"/>
      <c r="R40" s="25"/>
      <c r="S40" s="25"/>
      <c r="T40" s="25"/>
      <c r="U40" s="25"/>
    </row>
    <row r="41" spans="1:52" x14ac:dyDescent="0.5">
      <c r="A41" s="25"/>
      <c r="B41" s="25"/>
      <c r="C41" s="25"/>
      <c r="D41" s="25"/>
      <c r="E41" s="25"/>
      <c r="F41" s="25"/>
      <c r="G41" s="25"/>
      <c r="H41" s="25"/>
      <c r="I41" s="25"/>
      <c r="J41" s="25"/>
      <c r="K41" s="25"/>
      <c r="L41" s="25"/>
      <c r="M41" s="25"/>
      <c r="N41" s="25"/>
      <c r="O41" s="25"/>
      <c r="P41" s="25"/>
      <c r="Q41" s="25"/>
      <c r="R41" s="25"/>
      <c r="S41" s="25"/>
      <c r="T41" s="25"/>
      <c r="U41" s="25"/>
    </row>
    <row r="42" spans="1:52" x14ac:dyDescent="0.5">
      <c r="A42" s="25"/>
      <c r="B42" s="25"/>
      <c r="C42" s="25"/>
      <c r="D42" s="25"/>
      <c r="E42" s="25"/>
      <c r="F42" s="25"/>
      <c r="G42" s="25"/>
      <c r="H42" s="25"/>
      <c r="I42" s="25"/>
      <c r="J42" s="25"/>
      <c r="K42" s="25"/>
      <c r="L42" s="25"/>
      <c r="M42" s="25"/>
      <c r="N42" s="25"/>
      <c r="O42" s="25"/>
      <c r="P42" s="25"/>
      <c r="Q42" s="25"/>
      <c r="R42" s="25"/>
      <c r="S42" s="25"/>
      <c r="T42" s="25"/>
      <c r="U42" s="25"/>
    </row>
    <row r="43" spans="1:52" x14ac:dyDescent="0.5">
      <c r="A43" s="25"/>
      <c r="B43" s="25"/>
      <c r="C43" s="25"/>
      <c r="D43" s="25"/>
      <c r="E43" s="25"/>
      <c r="F43" s="25"/>
      <c r="G43" s="25"/>
      <c r="H43" s="25"/>
      <c r="I43" s="25"/>
      <c r="J43" s="25"/>
      <c r="K43" s="25"/>
      <c r="L43" s="25"/>
      <c r="M43" s="25"/>
      <c r="N43" s="25"/>
      <c r="O43" s="25"/>
      <c r="P43" s="25"/>
      <c r="Q43" s="25"/>
      <c r="R43" s="25"/>
      <c r="S43" s="25"/>
      <c r="T43" s="25"/>
      <c r="U43" s="25"/>
    </row>
    <row r="44" spans="1:52" x14ac:dyDescent="0.5">
      <c r="A44" s="25"/>
      <c r="B44" s="25"/>
      <c r="C44" s="25"/>
      <c r="D44" s="25"/>
      <c r="E44" s="25"/>
      <c r="F44" s="25"/>
      <c r="G44" s="25"/>
      <c r="H44" s="25"/>
      <c r="I44" s="25"/>
      <c r="J44" s="25"/>
      <c r="K44" s="25"/>
      <c r="L44" s="25"/>
      <c r="M44" s="25"/>
      <c r="N44" s="25"/>
      <c r="O44" s="25"/>
      <c r="P44" s="25"/>
      <c r="Q44" s="25"/>
      <c r="R44" s="25"/>
      <c r="S44" s="25"/>
      <c r="T44" s="25"/>
      <c r="U44" s="25"/>
    </row>
    <row r="45" spans="1:52" x14ac:dyDescent="0.5">
      <c r="A45" s="25"/>
      <c r="B45" s="25"/>
      <c r="C45" s="25"/>
      <c r="D45" s="25"/>
      <c r="E45" s="25"/>
      <c r="F45" s="25"/>
      <c r="G45" s="25"/>
      <c r="H45" s="25"/>
      <c r="I45" s="25"/>
      <c r="J45" s="25"/>
      <c r="K45" s="25"/>
      <c r="L45" s="25"/>
      <c r="M45" s="25"/>
      <c r="N45" s="25"/>
      <c r="O45" s="25"/>
      <c r="P45" s="25"/>
      <c r="Q45" s="25"/>
      <c r="R45" s="25"/>
      <c r="S45" s="25"/>
      <c r="T45" s="25"/>
      <c r="U45" s="25"/>
    </row>
    <row r="46" spans="1:52" x14ac:dyDescent="0.5">
      <c r="A46" s="25"/>
      <c r="B46" s="25"/>
      <c r="C46" s="25"/>
      <c r="D46" s="25"/>
      <c r="E46" s="25"/>
      <c r="F46" s="25"/>
      <c r="G46" s="25"/>
      <c r="H46" s="25"/>
      <c r="I46" s="25"/>
      <c r="J46" s="25"/>
      <c r="K46" s="25"/>
      <c r="L46" s="25"/>
      <c r="M46" s="25"/>
      <c r="N46" s="25"/>
      <c r="O46" s="25"/>
      <c r="P46" s="25"/>
      <c r="Q46" s="25"/>
      <c r="R46" s="25"/>
      <c r="S46" s="25"/>
      <c r="T46" s="25"/>
      <c r="U46" s="25"/>
    </row>
    <row r="47" spans="1:52" x14ac:dyDescent="0.5">
      <c r="A47" s="25"/>
      <c r="B47" s="25"/>
      <c r="C47" s="25"/>
      <c r="D47" s="25"/>
      <c r="E47" s="25"/>
      <c r="F47" s="25"/>
      <c r="G47" s="25"/>
      <c r="H47" s="25"/>
      <c r="I47" s="25"/>
      <c r="J47" s="25"/>
      <c r="K47" s="25"/>
      <c r="L47" s="25"/>
      <c r="M47" s="25"/>
      <c r="N47" s="25"/>
      <c r="O47" s="25"/>
      <c r="P47" s="25"/>
      <c r="Q47" s="25"/>
      <c r="R47" s="25"/>
      <c r="S47" s="25"/>
      <c r="T47" s="25"/>
      <c r="U47" s="25"/>
    </row>
    <row r="48" spans="1:52" ht="35.5" thickBot="1" x14ac:dyDescent="1">
      <c r="A48" s="24"/>
      <c r="B48" s="198" t="s">
        <v>128</v>
      </c>
      <c r="C48" s="199"/>
      <c r="D48" s="199"/>
      <c r="E48" s="200"/>
      <c r="F48" s="200"/>
      <c r="G48" s="200"/>
      <c r="H48" s="200"/>
      <c r="I48" s="200"/>
      <c r="J48" s="200"/>
      <c r="K48" s="200"/>
      <c r="L48" s="200"/>
      <c r="M48" s="200"/>
      <c r="N48" s="200"/>
      <c r="O48" s="200"/>
      <c r="P48" s="200"/>
      <c r="Q48" s="200"/>
      <c r="R48" s="200"/>
      <c r="S48" s="200"/>
      <c r="T48" s="200"/>
      <c r="U48" s="200"/>
      <c r="V48" s="213"/>
      <c r="W48" s="214"/>
      <c r="X48" s="214"/>
      <c r="Y48" s="214"/>
      <c r="Z48" s="214"/>
      <c r="AA48" s="214"/>
      <c r="AB48" s="214"/>
      <c r="AC48" s="214"/>
      <c r="AD48" s="214"/>
      <c r="AE48" s="214"/>
      <c r="AF48" s="214"/>
      <c r="AG48" s="214"/>
      <c r="AH48" s="214"/>
      <c r="AI48" s="214"/>
      <c r="AJ48" s="214"/>
      <c r="AK48" s="214"/>
      <c r="AL48" s="214"/>
      <c r="AM48" s="214"/>
      <c r="AN48" s="214"/>
      <c r="AO48" s="214"/>
      <c r="AP48" s="214"/>
      <c r="AQ48" s="214"/>
      <c r="AR48" s="214"/>
      <c r="AS48" s="214"/>
      <c r="AT48" s="214"/>
      <c r="AU48" s="214"/>
      <c r="AV48" s="214"/>
      <c r="AW48" s="214"/>
      <c r="AX48" s="214"/>
      <c r="AY48" s="214"/>
      <c r="AZ48" s="214"/>
    </row>
    <row r="49" spans="1:23" x14ac:dyDescent="0.5">
      <c r="A49" s="25"/>
      <c r="B49" s="25"/>
      <c r="C49" s="25"/>
      <c r="D49" s="25"/>
      <c r="E49" s="25"/>
      <c r="F49" s="25"/>
      <c r="H49" s="25"/>
      <c r="I49" s="25"/>
      <c r="J49" s="25"/>
      <c r="K49" s="25"/>
      <c r="L49" s="25"/>
      <c r="M49" s="25"/>
      <c r="N49" s="25"/>
      <c r="O49" s="25"/>
      <c r="P49" s="25"/>
      <c r="Q49" s="25"/>
      <c r="R49" s="25"/>
      <c r="S49" s="25"/>
      <c r="T49" s="25"/>
      <c r="U49" s="25"/>
    </row>
    <row r="50" spans="1:23" ht="36" x14ac:dyDescent="0.6">
      <c r="A50" s="25"/>
      <c r="B50" s="36"/>
      <c r="C50" s="25"/>
      <c r="D50" s="25"/>
      <c r="E50" s="42" t="s">
        <v>115</v>
      </c>
      <c r="F50" s="42" t="s">
        <v>130</v>
      </c>
      <c r="G50" s="42" t="s">
        <v>126</v>
      </c>
    </row>
    <row r="51" spans="1:23" ht="22" x14ac:dyDescent="0.6">
      <c r="A51" s="25"/>
      <c r="B51" s="36"/>
      <c r="C51" s="25"/>
      <c r="D51" s="25"/>
      <c r="E51" s="42"/>
      <c r="F51" s="42"/>
      <c r="G51" s="42"/>
    </row>
    <row r="52" spans="1:23" x14ac:dyDescent="0.5">
      <c r="A52" s="25"/>
      <c r="C52" s="27" t="str" cm="1">
        <f t="array" ref="C52:C54">assetnames</f>
        <v>Network upgrade name</v>
      </c>
      <c r="D52" s="25"/>
      <c r="E52" s="43" t="str">
        <f>'Wastewater LRMC'!F62</f>
        <v/>
      </c>
      <c r="F52" s="43" t="str">
        <f>'Wastewater LRMC'!F39</f>
        <v/>
      </c>
      <c r="G52" s="43" t="str">
        <f>'Wastewater LRMC'!F112</f>
        <v/>
      </c>
    </row>
    <row r="53" spans="1:23" ht="22" x14ac:dyDescent="0.6">
      <c r="A53" s="25"/>
      <c r="B53" s="36"/>
      <c r="C53" s="27" t="str">
        <v>Sewerage treatment plant upgrade name</v>
      </c>
      <c r="D53" s="25"/>
      <c r="E53" s="43" t="str">
        <f>'Wastewater LRMC'!F167</f>
        <v/>
      </c>
      <c r="F53" s="43" t="str">
        <f>'Wastewater LRMC'!F145</f>
        <v/>
      </c>
      <c r="G53" s="43" t="str">
        <f>'Wastewater LRMC'!F217</f>
        <v/>
      </c>
    </row>
    <row r="54" spans="1:23" x14ac:dyDescent="0.5">
      <c r="A54" s="25"/>
      <c r="B54" s="37"/>
      <c r="C54" s="27" t="str">
        <v>Discharge / ocean outfall upgrade name</v>
      </c>
      <c r="D54" s="25"/>
      <c r="E54" s="43" t="str">
        <f>'Wastewater LRMC'!F273</f>
        <v/>
      </c>
      <c r="F54" s="43" t="str">
        <f>'Wastewater LRMC'!F250</f>
        <v/>
      </c>
      <c r="G54" s="43" t="str">
        <f>'Wastewater LRMC'!F323</f>
        <v/>
      </c>
    </row>
    <row r="55" spans="1:23" x14ac:dyDescent="0.5">
      <c r="A55" s="25"/>
      <c r="I55" s="25"/>
      <c r="J55" s="25"/>
      <c r="K55" s="25"/>
      <c r="L55" s="25"/>
      <c r="M55" s="25"/>
      <c r="N55" s="25"/>
      <c r="O55" s="25"/>
      <c r="P55" s="25"/>
      <c r="Q55" s="25"/>
      <c r="R55" s="25"/>
      <c r="S55" s="25"/>
      <c r="T55" s="25"/>
      <c r="U55" s="25"/>
      <c r="V55" s="25"/>
      <c r="W55" s="25"/>
    </row>
    <row r="56" spans="1:23" x14ac:dyDescent="0.5">
      <c r="A56" s="25"/>
      <c r="I56" s="25"/>
      <c r="J56" s="25"/>
      <c r="K56" s="25"/>
      <c r="L56" s="25"/>
      <c r="M56" s="25"/>
      <c r="N56" s="25"/>
      <c r="O56" s="25"/>
      <c r="P56" s="25"/>
      <c r="Q56" s="25"/>
      <c r="R56" s="25"/>
      <c r="S56" s="25"/>
      <c r="T56" s="25"/>
      <c r="U56" s="25"/>
      <c r="V56" s="25"/>
      <c r="W56" s="25"/>
    </row>
    <row r="57" spans="1:23" x14ac:dyDescent="0.5">
      <c r="A57" s="25"/>
      <c r="I57" s="25"/>
      <c r="J57" s="25"/>
      <c r="K57" s="25"/>
      <c r="L57" s="25"/>
      <c r="M57" s="25"/>
      <c r="N57" s="25"/>
      <c r="O57" s="25"/>
      <c r="P57" s="25"/>
      <c r="Q57" s="25"/>
      <c r="R57" s="25"/>
      <c r="S57" s="25"/>
      <c r="T57" s="25"/>
      <c r="U57" s="25"/>
      <c r="V57" s="25"/>
      <c r="W57" s="25"/>
    </row>
    <row r="58" spans="1:23" x14ac:dyDescent="0.5">
      <c r="A58" s="25"/>
      <c r="I58" s="25"/>
      <c r="J58" s="25"/>
      <c r="K58" s="25"/>
      <c r="L58" s="25"/>
      <c r="M58" s="25"/>
      <c r="N58" s="25"/>
      <c r="O58" s="25"/>
      <c r="P58" s="25"/>
      <c r="Q58" s="25"/>
    </row>
    <row r="59" spans="1:23" x14ac:dyDescent="0.5">
      <c r="A59" s="25"/>
      <c r="I59" s="25"/>
      <c r="J59" s="25"/>
      <c r="K59" s="25"/>
      <c r="L59" s="25"/>
      <c r="M59" s="25"/>
      <c r="N59" s="25"/>
      <c r="O59" s="25"/>
      <c r="P59" s="25"/>
      <c r="Q59" s="25"/>
    </row>
    <row r="60" spans="1:23" x14ac:dyDescent="0.5">
      <c r="A60" s="25"/>
      <c r="I60" s="25"/>
      <c r="J60" s="25"/>
      <c r="K60" s="25"/>
      <c r="L60" s="25"/>
      <c r="M60" s="25"/>
      <c r="N60" s="25"/>
      <c r="O60" s="25"/>
      <c r="P60" s="25"/>
      <c r="Q60" s="25"/>
    </row>
    <row r="61" spans="1:23" x14ac:dyDescent="0.5">
      <c r="A61" s="25"/>
      <c r="C61" s="27"/>
      <c r="D61" s="37"/>
      <c r="E61" s="44"/>
      <c r="F61" s="44"/>
      <c r="G61" s="45"/>
      <c r="I61" s="25"/>
      <c r="J61" s="25"/>
      <c r="K61" s="25"/>
      <c r="L61" s="25"/>
      <c r="M61" s="25"/>
      <c r="N61" s="25"/>
      <c r="O61" s="25"/>
      <c r="P61" s="25"/>
      <c r="Q61" s="25"/>
    </row>
    <row r="62" spans="1:23" x14ac:dyDescent="0.5">
      <c r="A62" s="25"/>
      <c r="I62" s="25"/>
      <c r="J62" s="25"/>
      <c r="K62" s="25"/>
      <c r="L62" s="25"/>
      <c r="M62" s="25"/>
      <c r="N62" s="25"/>
      <c r="O62" s="25"/>
      <c r="P62" s="25"/>
      <c r="Q62" s="25"/>
    </row>
    <row r="63" spans="1:23" x14ac:dyDescent="0.5">
      <c r="A63" s="25"/>
      <c r="I63" s="25"/>
      <c r="J63" s="25"/>
      <c r="K63" s="25"/>
      <c r="L63" s="25"/>
      <c r="M63" s="25"/>
      <c r="N63" s="25"/>
      <c r="O63" s="25"/>
      <c r="P63" s="25"/>
      <c r="Q63" s="25"/>
      <c r="R63" s="25"/>
    </row>
    <row r="64" spans="1:23" x14ac:dyDescent="0.5">
      <c r="A64" s="25"/>
      <c r="I64" s="25"/>
      <c r="J64" s="25"/>
      <c r="K64" s="25"/>
      <c r="L64" s="25"/>
      <c r="M64" s="25"/>
      <c r="N64" s="25"/>
      <c r="O64" s="25"/>
      <c r="P64" s="25"/>
      <c r="Q64" s="25"/>
      <c r="R64" s="25"/>
    </row>
    <row r="65" spans="1:20" x14ac:dyDescent="0.5">
      <c r="A65" s="25"/>
      <c r="I65" s="25"/>
      <c r="J65" s="25"/>
      <c r="K65" s="25"/>
      <c r="L65" s="25"/>
      <c r="M65" s="25"/>
      <c r="N65" s="25"/>
      <c r="O65" s="25"/>
      <c r="P65" s="25"/>
      <c r="Q65" s="25"/>
      <c r="R65" s="25"/>
    </row>
    <row r="66" spans="1:20" x14ac:dyDescent="0.5">
      <c r="A66" s="25"/>
      <c r="I66" s="25"/>
      <c r="J66" s="25"/>
      <c r="K66" s="25"/>
      <c r="L66" s="25"/>
      <c r="M66" s="25"/>
      <c r="N66" s="25"/>
      <c r="O66" s="25"/>
      <c r="P66" s="25"/>
      <c r="Q66" s="25"/>
      <c r="R66" s="25"/>
    </row>
    <row r="67" spans="1:20" x14ac:dyDescent="0.5">
      <c r="A67" s="25"/>
      <c r="I67" s="25"/>
      <c r="J67" s="25"/>
      <c r="K67" s="25"/>
      <c r="L67" s="25"/>
      <c r="M67" s="25"/>
      <c r="N67" s="25"/>
      <c r="O67" s="25"/>
      <c r="P67" s="25"/>
      <c r="Q67" s="25"/>
      <c r="R67" s="25"/>
    </row>
    <row r="68" spans="1:20" x14ac:dyDescent="0.5">
      <c r="A68" s="25"/>
      <c r="B68" s="37"/>
      <c r="C68" s="37"/>
      <c r="D68" s="25"/>
      <c r="E68" s="25"/>
      <c r="F68" s="25"/>
      <c r="G68" s="25"/>
      <c r="H68" s="25"/>
      <c r="I68" s="25"/>
      <c r="J68" s="25"/>
      <c r="K68" s="25"/>
      <c r="L68" s="25"/>
      <c r="M68" s="25"/>
      <c r="N68" s="25"/>
      <c r="O68" s="25"/>
      <c r="P68" s="25"/>
      <c r="Q68" s="25"/>
      <c r="R68" s="25"/>
      <c r="S68" s="25"/>
      <c r="T68" s="25"/>
    </row>
    <row r="69" spans="1:20" s="25" customFormat="1" x14ac:dyDescent="0.5"/>
    <row r="70" spans="1:20" s="25" customFormat="1" x14ac:dyDescent="0.5"/>
    <row r="71" spans="1:20" s="25" customFormat="1" x14ac:dyDescent="0.5"/>
    <row r="72" spans="1:20" s="25" customFormat="1" x14ac:dyDescent="0.5"/>
    <row r="73" spans="1:20" s="25" customFormat="1" x14ac:dyDescent="0.5"/>
    <row r="74" spans="1:20" s="25" customFormat="1" x14ac:dyDescent="0.5"/>
    <row r="75" spans="1:20" s="25" customFormat="1" x14ac:dyDescent="0.5"/>
    <row r="76" spans="1:20" s="25" customFormat="1" x14ac:dyDescent="0.5"/>
    <row r="77" spans="1:20" s="25" customFormat="1" x14ac:dyDescent="0.5"/>
    <row r="78" spans="1:20" s="25" customFormat="1" x14ac:dyDescent="0.5"/>
    <row r="79" spans="1:20" s="25" customFormat="1" x14ac:dyDescent="0.5"/>
    <row r="80" spans="1:20" s="25" customFormat="1" x14ac:dyDescent="0.5"/>
    <row r="81" s="25" customFormat="1" x14ac:dyDescent="0.5"/>
    <row r="82" s="25" customFormat="1" x14ac:dyDescent="0.5"/>
    <row r="83" s="25" customFormat="1" x14ac:dyDescent="0.5"/>
    <row r="84" s="25" customFormat="1" x14ac:dyDescent="0.5"/>
    <row r="85" s="25" customFormat="1" x14ac:dyDescent="0.5"/>
    <row r="86" s="25" customFormat="1" x14ac:dyDescent="0.5"/>
    <row r="87" s="25" customFormat="1" x14ac:dyDescent="0.5"/>
    <row r="88" s="25" customFormat="1" x14ac:dyDescent="0.5"/>
    <row r="89" s="25" customFormat="1" x14ac:dyDescent="0.5"/>
    <row r="90" s="25" customFormat="1" x14ac:dyDescent="0.5"/>
    <row r="91" s="25" customFormat="1" x14ac:dyDescent="0.5"/>
    <row r="92" s="25" customFormat="1" x14ac:dyDescent="0.5"/>
    <row r="93" s="25" customFormat="1" x14ac:dyDescent="0.5"/>
    <row r="94" s="25" customFormat="1" x14ac:dyDescent="0.5"/>
    <row r="95" s="25" customFormat="1" x14ac:dyDescent="0.5"/>
    <row r="96" s="25" customFormat="1" x14ac:dyDescent="0.5"/>
    <row r="97" s="25" customFormat="1" x14ac:dyDescent="0.5"/>
    <row r="98" s="25" customFormat="1" x14ac:dyDescent="0.5"/>
    <row r="99" s="25" customFormat="1" x14ac:dyDescent="0.5"/>
    <row r="100" s="25" customFormat="1" x14ac:dyDescent="0.5"/>
    <row r="101" s="25" customFormat="1" x14ac:dyDescent="0.5"/>
    <row r="102" s="25" customFormat="1" x14ac:dyDescent="0.5"/>
    <row r="103" s="25" customFormat="1" x14ac:dyDescent="0.5"/>
    <row r="104" s="25" customFormat="1" x14ac:dyDescent="0.5"/>
    <row r="105" s="25" customFormat="1" x14ac:dyDescent="0.5"/>
    <row r="106" s="25" customFormat="1" x14ac:dyDescent="0.5"/>
    <row r="107" s="25" customFormat="1" x14ac:dyDescent="0.5"/>
    <row r="108" s="25" customFormat="1" x14ac:dyDescent="0.5"/>
    <row r="109" s="25" customFormat="1" x14ac:dyDescent="0.5"/>
    <row r="110" s="25" customFormat="1" x14ac:dyDescent="0.5"/>
    <row r="111" s="25" customFormat="1" x14ac:dyDescent="0.5"/>
    <row r="112" s="25" customFormat="1" x14ac:dyDescent="0.5"/>
    <row r="113" s="25" customFormat="1" x14ac:dyDescent="0.5"/>
    <row r="114" s="25" customFormat="1" x14ac:dyDescent="0.5"/>
    <row r="115" s="25" customFormat="1" x14ac:dyDescent="0.5"/>
    <row r="116" s="25" customFormat="1" x14ac:dyDescent="0.5"/>
  </sheetData>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C708A117-26AF-4F18-81C5-EBBFD2C44829}">
          <x14:formula1>
            <xm:f>Assumptions!$I$10:$K$10</xm:f>
          </x14:formula1>
          <xm:sqref>F11</xm:sqref>
        </x14:dataValidation>
        <x14:dataValidation type="list" allowBlank="1" showInputMessage="1" showErrorMessage="1" xr:uid="{4309A8CF-77A8-4889-B173-7F474D4E63FA}">
          <x14:formula1>
            <xm:f>Assumptions!$I$11:$K$11</xm:f>
          </x14:formula1>
          <xm:sqref>F14</xm:sqref>
        </x14:dataValidation>
        <x14:dataValidation type="list" allowBlank="1" showInputMessage="1" showErrorMessage="1" xr:uid="{2B558F52-4655-4C9D-9F58-9AAB09411159}">
          <x14:formula1>
            <xm:f>Assumptions!$C$58:$C$60</xm:f>
          </x14:formula1>
          <xm:sqref>F13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C13FB-49F6-4A84-BF01-3200143967C6}">
  <sheetPr>
    <tabColor theme="4"/>
  </sheetPr>
  <dimension ref="A1:AK43"/>
  <sheetViews>
    <sheetView showGridLines="0" topLeftCell="A30" zoomScale="93" zoomScaleNormal="93" workbookViewId="0">
      <selection activeCell="D24" sqref="D24"/>
    </sheetView>
  </sheetViews>
  <sheetFormatPr defaultColWidth="9.23046875" defaultRowHeight="14.5" x14ac:dyDescent="0.4"/>
  <cols>
    <col min="1" max="1" width="3.69140625" style="142" customWidth="1"/>
    <col min="2" max="2" width="9.23046875" style="142"/>
    <col min="3" max="3" width="34.3046875" style="142" customWidth="1"/>
    <col min="4" max="4" width="21.53515625" style="142" customWidth="1"/>
    <col min="5" max="16384" width="9.23046875" style="142"/>
  </cols>
  <sheetData>
    <row r="1" spans="1:37" s="143" customFormat="1" ht="35.15" customHeight="1" x14ac:dyDescent="0.45">
      <c r="A1" s="5"/>
      <c r="B1" s="161" t="s">
        <v>158</v>
      </c>
      <c r="C1" s="6"/>
      <c r="D1" s="6"/>
      <c r="E1" s="6"/>
      <c r="F1" s="6"/>
      <c r="G1" s="6"/>
      <c r="H1" s="5"/>
      <c r="I1" s="6"/>
      <c r="J1" s="6"/>
      <c r="K1" s="6"/>
      <c r="L1" s="6"/>
      <c r="M1" s="6"/>
      <c r="N1" s="6"/>
      <c r="O1" s="6"/>
      <c r="P1" s="6"/>
      <c r="Q1" s="6"/>
      <c r="R1" s="6"/>
      <c r="S1" s="6"/>
      <c r="T1" s="6"/>
      <c r="U1" s="6"/>
      <c r="V1" s="6"/>
      <c r="W1" s="6"/>
      <c r="X1" s="6"/>
      <c r="Y1" s="6"/>
      <c r="Z1" s="6"/>
      <c r="AA1" s="146"/>
      <c r="AB1" s="146"/>
      <c r="AC1" s="146"/>
      <c r="AD1" s="146"/>
      <c r="AE1" s="146"/>
      <c r="AF1" s="146"/>
      <c r="AG1" s="146"/>
      <c r="AH1" s="146"/>
      <c r="AI1" s="146"/>
      <c r="AJ1" s="146"/>
      <c r="AK1" s="146"/>
    </row>
    <row r="2" spans="1:37" s="143" customFormat="1" ht="26.15" customHeight="1" x14ac:dyDescent="0.45">
      <c r="A2" s="7"/>
      <c r="B2" s="4" t="s">
        <v>133</v>
      </c>
      <c r="C2" s="7"/>
      <c r="D2" s="7"/>
      <c r="E2" s="7"/>
      <c r="F2" s="7"/>
      <c r="G2" s="7"/>
      <c r="H2" s="7"/>
      <c r="I2" s="7"/>
      <c r="J2" s="7"/>
      <c r="K2" s="7"/>
      <c r="L2" s="7"/>
      <c r="M2" s="7"/>
      <c r="N2" s="7"/>
      <c r="O2" s="7"/>
      <c r="P2" s="7"/>
      <c r="Q2" s="7"/>
      <c r="R2" s="7"/>
      <c r="S2" s="144"/>
      <c r="T2" s="144"/>
      <c r="U2" s="144"/>
      <c r="V2" s="144"/>
      <c r="W2" s="144"/>
      <c r="X2" s="144"/>
      <c r="Y2" s="144"/>
      <c r="Z2" s="144"/>
      <c r="AA2" s="146"/>
      <c r="AB2" s="146"/>
      <c r="AC2" s="146"/>
      <c r="AD2" s="146"/>
      <c r="AE2" s="146"/>
      <c r="AF2" s="146"/>
      <c r="AG2" s="146"/>
      <c r="AH2" s="146"/>
      <c r="AI2" s="146"/>
      <c r="AJ2" s="146"/>
      <c r="AK2" s="146"/>
    </row>
    <row r="4" spans="1:37" x14ac:dyDescent="0.4">
      <c r="B4" s="142" t="s">
        <v>142</v>
      </c>
      <c r="D4" s="171" t="s">
        <v>36</v>
      </c>
    </row>
    <row r="6" spans="1:37" x14ac:dyDescent="0.4">
      <c r="C6" s="151" t="s">
        <v>110</v>
      </c>
      <c r="G6" s="172">
        <v>1</v>
      </c>
      <c r="H6" s="172">
        <f>G6+1</f>
        <v>2</v>
      </c>
      <c r="I6" s="172">
        <f t="shared" ref="I6:AI6" si="0">H6+1</f>
        <v>3</v>
      </c>
      <c r="J6" s="172">
        <f t="shared" si="0"/>
        <v>4</v>
      </c>
      <c r="K6" s="172">
        <f t="shared" si="0"/>
        <v>5</v>
      </c>
      <c r="L6" s="172">
        <f t="shared" si="0"/>
        <v>6</v>
      </c>
      <c r="M6" s="172">
        <f t="shared" si="0"/>
        <v>7</v>
      </c>
      <c r="N6" s="172">
        <f t="shared" si="0"/>
        <v>8</v>
      </c>
      <c r="O6" s="172">
        <f t="shared" si="0"/>
        <v>9</v>
      </c>
      <c r="P6" s="172">
        <f t="shared" si="0"/>
        <v>10</v>
      </c>
      <c r="Q6" s="172">
        <f t="shared" si="0"/>
        <v>11</v>
      </c>
      <c r="R6" s="172">
        <f t="shared" si="0"/>
        <v>12</v>
      </c>
      <c r="S6" s="172">
        <f t="shared" si="0"/>
        <v>13</v>
      </c>
      <c r="T6" s="172">
        <f t="shared" si="0"/>
        <v>14</v>
      </c>
      <c r="U6" s="172">
        <f t="shared" si="0"/>
        <v>15</v>
      </c>
      <c r="V6" s="172">
        <f t="shared" si="0"/>
        <v>16</v>
      </c>
      <c r="W6" s="172">
        <f t="shared" si="0"/>
        <v>17</v>
      </c>
      <c r="X6" s="172">
        <f t="shared" si="0"/>
        <v>18</v>
      </c>
      <c r="Y6" s="172">
        <f t="shared" si="0"/>
        <v>19</v>
      </c>
      <c r="Z6" s="172">
        <f t="shared" si="0"/>
        <v>20</v>
      </c>
      <c r="AA6" s="172">
        <f t="shared" si="0"/>
        <v>21</v>
      </c>
      <c r="AB6" s="172">
        <f t="shared" si="0"/>
        <v>22</v>
      </c>
      <c r="AC6" s="172">
        <f t="shared" si="0"/>
        <v>23</v>
      </c>
      <c r="AD6" s="172">
        <f t="shared" si="0"/>
        <v>24</v>
      </c>
      <c r="AE6" s="172">
        <f t="shared" si="0"/>
        <v>25</v>
      </c>
      <c r="AF6" s="172">
        <f t="shared" si="0"/>
        <v>26</v>
      </c>
      <c r="AG6" s="172">
        <f t="shared" si="0"/>
        <v>27</v>
      </c>
      <c r="AH6" s="172">
        <f t="shared" si="0"/>
        <v>28</v>
      </c>
      <c r="AI6" s="172">
        <f t="shared" si="0"/>
        <v>29</v>
      </c>
      <c r="AJ6" s="172">
        <f>AI6+1</f>
        <v>30</v>
      </c>
    </row>
    <row r="7" spans="1:37" x14ac:dyDescent="0.4">
      <c r="C7" s="145" t="s">
        <v>111</v>
      </c>
      <c r="G7" s="173">
        <f>firstfinyearstart</f>
        <v>45474</v>
      </c>
      <c r="H7" s="173">
        <f>DATE(YEAR(G7)+1,MONTH(G$7),DAY(G$7))</f>
        <v>45839</v>
      </c>
      <c r="I7" s="173">
        <f t="shared" ref="I7:AJ7" si="1">DATE(YEAR(H7)+1,MONTH(H$7),DAY(H$7))</f>
        <v>46204</v>
      </c>
      <c r="J7" s="173">
        <f t="shared" si="1"/>
        <v>46569</v>
      </c>
      <c r="K7" s="173">
        <f t="shared" si="1"/>
        <v>46935</v>
      </c>
      <c r="L7" s="173">
        <f t="shared" si="1"/>
        <v>47300</v>
      </c>
      <c r="M7" s="173">
        <f t="shared" si="1"/>
        <v>47665</v>
      </c>
      <c r="N7" s="173">
        <f t="shared" si="1"/>
        <v>48030</v>
      </c>
      <c r="O7" s="173">
        <f t="shared" si="1"/>
        <v>48396</v>
      </c>
      <c r="P7" s="173">
        <f t="shared" si="1"/>
        <v>48761</v>
      </c>
      <c r="Q7" s="173">
        <f t="shared" si="1"/>
        <v>49126</v>
      </c>
      <c r="R7" s="173">
        <f t="shared" si="1"/>
        <v>49491</v>
      </c>
      <c r="S7" s="173">
        <f t="shared" si="1"/>
        <v>49857</v>
      </c>
      <c r="T7" s="173">
        <f t="shared" si="1"/>
        <v>50222</v>
      </c>
      <c r="U7" s="173">
        <f t="shared" si="1"/>
        <v>50587</v>
      </c>
      <c r="V7" s="173">
        <f t="shared" si="1"/>
        <v>50952</v>
      </c>
      <c r="W7" s="173">
        <f t="shared" si="1"/>
        <v>51318</v>
      </c>
      <c r="X7" s="173">
        <f t="shared" si="1"/>
        <v>51683</v>
      </c>
      <c r="Y7" s="173">
        <f t="shared" si="1"/>
        <v>52048</v>
      </c>
      <c r="Z7" s="173">
        <f t="shared" si="1"/>
        <v>52413</v>
      </c>
      <c r="AA7" s="173">
        <f t="shared" si="1"/>
        <v>52779</v>
      </c>
      <c r="AB7" s="173">
        <f t="shared" si="1"/>
        <v>53144</v>
      </c>
      <c r="AC7" s="173">
        <f t="shared" si="1"/>
        <v>53509</v>
      </c>
      <c r="AD7" s="173">
        <f t="shared" si="1"/>
        <v>53874</v>
      </c>
      <c r="AE7" s="173">
        <f t="shared" si="1"/>
        <v>54240</v>
      </c>
      <c r="AF7" s="173">
        <f t="shared" si="1"/>
        <v>54605</v>
      </c>
      <c r="AG7" s="173">
        <f t="shared" si="1"/>
        <v>54970</v>
      </c>
      <c r="AH7" s="173">
        <f t="shared" si="1"/>
        <v>55335</v>
      </c>
      <c r="AI7" s="173">
        <f t="shared" si="1"/>
        <v>55701</v>
      </c>
      <c r="AJ7" s="173">
        <f t="shared" si="1"/>
        <v>56066</v>
      </c>
    </row>
    <row r="8" spans="1:37" x14ac:dyDescent="0.4">
      <c r="C8" s="145" t="s">
        <v>112</v>
      </c>
      <c r="G8" s="173">
        <f>firstfinyearend</f>
        <v>45838</v>
      </c>
      <c r="H8" s="173">
        <f>DATE(YEAR(G8)+1,MONTH(G$8),DAY(G$8))</f>
        <v>46203</v>
      </c>
      <c r="I8" s="173">
        <f t="shared" ref="I8:AJ8" si="2">DATE(YEAR(H8)+1,MONTH(H$8),DAY(H$8))</f>
        <v>46568</v>
      </c>
      <c r="J8" s="173">
        <f t="shared" si="2"/>
        <v>46934</v>
      </c>
      <c r="K8" s="173">
        <f t="shared" si="2"/>
        <v>47299</v>
      </c>
      <c r="L8" s="173">
        <f t="shared" si="2"/>
        <v>47664</v>
      </c>
      <c r="M8" s="173">
        <f t="shared" si="2"/>
        <v>48029</v>
      </c>
      <c r="N8" s="173">
        <f t="shared" si="2"/>
        <v>48395</v>
      </c>
      <c r="O8" s="173">
        <f t="shared" si="2"/>
        <v>48760</v>
      </c>
      <c r="P8" s="173">
        <f t="shared" si="2"/>
        <v>49125</v>
      </c>
      <c r="Q8" s="173">
        <f t="shared" si="2"/>
        <v>49490</v>
      </c>
      <c r="R8" s="173">
        <f t="shared" si="2"/>
        <v>49856</v>
      </c>
      <c r="S8" s="173">
        <f t="shared" si="2"/>
        <v>50221</v>
      </c>
      <c r="T8" s="173">
        <f t="shared" si="2"/>
        <v>50586</v>
      </c>
      <c r="U8" s="173">
        <f t="shared" si="2"/>
        <v>50951</v>
      </c>
      <c r="V8" s="173">
        <f t="shared" si="2"/>
        <v>51317</v>
      </c>
      <c r="W8" s="173">
        <f t="shared" si="2"/>
        <v>51682</v>
      </c>
      <c r="X8" s="173">
        <f t="shared" si="2"/>
        <v>52047</v>
      </c>
      <c r="Y8" s="173">
        <f t="shared" si="2"/>
        <v>52412</v>
      </c>
      <c r="Z8" s="173">
        <f t="shared" si="2"/>
        <v>52778</v>
      </c>
      <c r="AA8" s="173">
        <f t="shared" si="2"/>
        <v>53143</v>
      </c>
      <c r="AB8" s="173">
        <f t="shared" si="2"/>
        <v>53508</v>
      </c>
      <c r="AC8" s="173">
        <f t="shared" si="2"/>
        <v>53873</v>
      </c>
      <c r="AD8" s="173">
        <f t="shared" si="2"/>
        <v>54239</v>
      </c>
      <c r="AE8" s="173">
        <f t="shared" si="2"/>
        <v>54604</v>
      </c>
      <c r="AF8" s="173">
        <f t="shared" si="2"/>
        <v>54969</v>
      </c>
      <c r="AG8" s="173">
        <f t="shared" si="2"/>
        <v>55334</v>
      </c>
      <c r="AH8" s="173">
        <f t="shared" si="2"/>
        <v>55700</v>
      </c>
      <c r="AI8" s="173">
        <f t="shared" si="2"/>
        <v>56065</v>
      </c>
      <c r="AJ8" s="173">
        <f t="shared" si="2"/>
        <v>56430</v>
      </c>
    </row>
    <row r="9" spans="1:37" x14ac:dyDescent="0.4">
      <c r="C9" s="145"/>
      <c r="G9" s="142">
        <f>ModelFYStart</f>
        <v>2025</v>
      </c>
      <c r="H9" s="142">
        <f>G9+1</f>
        <v>2026</v>
      </c>
      <c r="I9" s="142">
        <f t="shared" ref="I9:AJ9" si="3">H9+1</f>
        <v>2027</v>
      </c>
      <c r="J9" s="142">
        <f t="shared" si="3"/>
        <v>2028</v>
      </c>
      <c r="K9" s="142">
        <f t="shared" si="3"/>
        <v>2029</v>
      </c>
      <c r="L9" s="142">
        <f t="shared" si="3"/>
        <v>2030</v>
      </c>
      <c r="M9" s="142">
        <f t="shared" si="3"/>
        <v>2031</v>
      </c>
      <c r="N9" s="142">
        <f t="shared" si="3"/>
        <v>2032</v>
      </c>
      <c r="O9" s="142">
        <f t="shared" si="3"/>
        <v>2033</v>
      </c>
      <c r="P9" s="142">
        <f t="shared" si="3"/>
        <v>2034</v>
      </c>
      <c r="Q9" s="142">
        <f t="shared" si="3"/>
        <v>2035</v>
      </c>
      <c r="R9" s="142">
        <f t="shared" si="3"/>
        <v>2036</v>
      </c>
      <c r="S9" s="142">
        <f t="shared" si="3"/>
        <v>2037</v>
      </c>
      <c r="T9" s="142">
        <f t="shared" si="3"/>
        <v>2038</v>
      </c>
      <c r="U9" s="142">
        <f t="shared" si="3"/>
        <v>2039</v>
      </c>
      <c r="V9" s="142">
        <f t="shared" si="3"/>
        <v>2040</v>
      </c>
      <c r="W9" s="142">
        <f t="shared" si="3"/>
        <v>2041</v>
      </c>
      <c r="X9" s="142">
        <f t="shared" si="3"/>
        <v>2042</v>
      </c>
      <c r="Y9" s="142">
        <f t="shared" si="3"/>
        <v>2043</v>
      </c>
      <c r="Z9" s="142">
        <f t="shared" si="3"/>
        <v>2044</v>
      </c>
      <c r="AA9" s="142">
        <f t="shared" si="3"/>
        <v>2045</v>
      </c>
      <c r="AB9" s="142">
        <f t="shared" si="3"/>
        <v>2046</v>
      </c>
      <c r="AC9" s="142">
        <f t="shared" si="3"/>
        <v>2047</v>
      </c>
      <c r="AD9" s="142">
        <f t="shared" si="3"/>
        <v>2048</v>
      </c>
      <c r="AE9" s="142">
        <f t="shared" si="3"/>
        <v>2049</v>
      </c>
      <c r="AF9" s="142">
        <f t="shared" si="3"/>
        <v>2050</v>
      </c>
      <c r="AG9" s="142">
        <f t="shared" si="3"/>
        <v>2051</v>
      </c>
      <c r="AH9" s="142">
        <f t="shared" si="3"/>
        <v>2052</v>
      </c>
      <c r="AI9" s="142">
        <f t="shared" si="3"/>
        <v>2053</v>
      </c>
      <c r="AJ9" s="142">
        <f t="shared" si="3"/>
        <v>2054</v>
      </c>
    </row>
    <row r="11" spans="1:37" ht="30" thickBot="1" x14ac:dyDescent="0.85">
      <c r="B11" s="196" t="s">
        <v>133</v>
      </c>
      <c r="C11" s="196"/>
      <c r="D11" s="196" t="s">
        <v>40</v>
      </c>
      <c r="E11" s="196" t="s">
        <v>26</v>
      </c>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row>
    <row r="13" spans="1:37" ht="15" thickBot="1" x14ac:dyDescent="0.45">
      <c r="C13" s="174" t="str">
        <f>asset1name</f>
        <v>Network upgrade name</v>
      </c>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row>
    <row r="15" spans="1:37" x14ac:dyDescent="0.4">
      <c r="C15" s="142" t="s">
        <v>135</v>
      </c>
      <c r="D15" s="142" t="s">
        <v>137</v>
      </c>
      <c r="G15" s="177" t="e">
        <f>INDEX(LRMCvalues,MATCH($C13,assetnames,0),MATCH(LRMCapproach,LRMCnames,0))</f>
        <v>#DIV/0!</v>
      </c>
      <c r="H15" s="177" t="e">
        <f t="shared" ref="H15:AJ15" si="4">INDEX(LRMCvalues,MATCH($C13,assetnames,0),MATCH(LRMCapproach,LRMCnames,0))</f>
        <v>#DIV/0!</v>
      </c>
      <c r="I15" s="177" t="e">
        <f t="shared" si="4"/>
        <v>#DIV/0!</v>
      </c>
      <c r="J15" s="177" t="e">
        <f t="shared" si="4"/>
        <v>#DIV/0!</v>
      </c>
      <c r="K15" s="177" t="e">
        <f t="shared" si="4"/>
        <v>#DIV/0!</v>
      </c>
      <c r="L15" s="177" t="e">
        <f t="shared" si="4"/>
        <v>#DIV/0!</v>
      </c>
      <c r="M15" s="177" t="e">
        <f t="shared" si="4"/>
        <v>#DIV/0!</v>
      </c>
      <c r="N15" s="177" t="e">
        <f t="shared" si="4"/>
        <v>#DIV/0!</v>
      </c>
      <c r="O15" s="177" t="e">
        <f t="shared" si="4"/>
        <v>#DIV/0!</v>
      </c>
      <c r="P15" s="177" t="e">
        <f t="shared" si="4"/>
        <v>#DIV/0!</v>
      </c>
      <c r="Q15" s="177" t="e">
        <f t="shared" si="4"/>
        <v>#DIV/0!</v>
      </c>
      <c r="R15" s="177" t="e">
        <f t="shared" si="4"/>
        <v>#DIV/0!</v>
      </c>
      <c r="S15" s="177" t="e">
        <f t="shared" si="4"/>
        <v>#DIV/0!</v>
      </c>
      <c r="T15" s="177" t="e">
        <f t="shared" si="4"/>
        <v>#DIV/0!</v>
      </c>
      <c r="U15" s="177" t="e">
        <f t="shared" si="4"/>
        <v>#DIV/0!</v>
      </c>
      <c r="V15" s="177" t="e">
        <f t="shared" si="4"/>
        <v>#DIV/0!</v>
      </c>
      <c r="W15" s="177" t="e">
        <f t="shared" si="4"/>
        <v>#DIV/0!</v>
      </c>
      <c r="X15" s="177" t="e">
        <f t="shared" si="4"/>
        <v>#DIV/0!</v>
      </c>
      <c r="Y15" s="177" t="e">
        <f t="shared" si="4"/>
        <v>#DIV/0!</v>
      </c>
      <c r="Z15" s="177" t="e">
        <f t="shared" si="4"/>
        <v>#DIV/0!</v>
      </c>
      <c r="AA15" s="177" t="e">
        <f t="shared" si="4"/>
        <v>#DIV/0!</v>
      </c>
      <c r="AB15" s="177" t="e">
        <f t="shared" si="4"/>
        <v>#DIV/0!</v>
      </c>
      <c r="AC15" s="177" t="e">
        <f t="shared" si="4"/>
        <v>#DIV/0!</v>
      </c>
      <c r="AD15" s="177" t="e">
        <f t="shared" si="4"/>
        <v>#DIV/0!</v>
      </c>
      <c r="AE15" s="177" t="e">
        <f t="shared" si="4"/>
        <v>#DIV/0!</v>
      </c>
      <c r="AF15" s="177" t="e">
        <f t="shared" si="4"/>
        <v>#DIV/0!</v>
      </c>
      <c r="AG15" s="177" t="e">
        <f t="shared" si="4"/>
        <v>#DIV/0!</v>
      </c>
      <c r="AH15" s="177" t="e">
        <f t="shared" si="4"/>
        <v>#DIV/0!</v>
      </c>
      <c r="AI15" s="177" t="e">
        <f t="shared" si="4"/>
        <v>#DIV/0!</v>
      </c>
      <c r="AJ15" s="177" t="e">
        <f t="shared" si="4"/>
        <v>#DIV/0!</v>
      </c>
    </row>
    <row r="16" spans="1:37" x14ac:dyDescent="0.4">
      <c r="C16" s="142" t="s">
        <v>134</v>
      </c>
      <c r="D16" s="142" t="s">
        <v>138</v>
      </c>
      <c r="G16" s="175">
        <f t="shared" ref="G16:AJ16" si="5">INDEX(watersaved,MATCH($C13,watersavednames,0),MATCH(G9,years,0))</f>
        <v>2500</v>
      </c>
      <c r="H16" s="175">
        <f t="shared" si="5"/>
        <v>2500</v>
      </c>
      <c r="I16" s="175">
        <f t="shared" si="5"/>
        <v>2500</v>
      </c>
      <c r="J16" s="175">
        <f t="shared" si="5"/>
        <v>2500</v>
      </c>
      <c r="K16" s="175">
        <f t="shared" si="5"/>
        <v>2500</v>
      </c>
      <c r="L16" s="175">
        <f t="shared" si="5"/>
        <v>2500</v>
      </c>
      <c r="M16" s="175">
        <f t="shared" si="5"/>
        <v>2500</v>
      </c>
      <c r="N16" s="175">
        <f t="shared" si="5"/>
        <v>2500</v>
      </c>
      <c r="O16" s="175">
        <f t="shared" si="5"/>
        <v>2500</v>
      </c>
      <c r="P16" s="175">
        <f t="shared" si="5"/>
        <v>2500</v>
      </c>
      <c r="Q16" s="175">
        <f t="shared" si="5"/>
        <v>2500</v>
      </c>
      <c r="R16" s="175">
        <f t="shared" si="5"/>
        <v>2500</v>
      </c>
      <c r="S16" s="175">
        <f t="shared" si="5"/>
        <v>2500</v>
      </c>
      <c r="T16" s="175">
        <f t="shared" si="5"/>
        <v>2500</v>
      </c>
      <c r="U16" s="175">
        <f t="shared" si="5"/>
        <v>2500</v>
      </c>
      <c r="V16" s="175">
        <f t="shared" si="5"/>
        <v>2500</v>
      </c>
      <c r="W16" s="175">
        <f t="shared" si="5"/>
        <v>2500</v>
      </c>
      <c r="X16" s="175">
        <f t="shared" si="5"/>
        <v>2500</v>
      </c>
      <c r="Y16" s="175">
        <f t="shared" si="5"/>
        <v>2500</v>
      </c>
      <c r="Z16" s="175">
        <f t="shared" si="5"/>
        <v>2500</v>
      </c>
      <c r="AA16" s="175">
        <f t="shared" si="5"/>
        <v>2500</v>
      </c>
      <c r="AB16" s="175">
        <f t="shared" si="5"/>
        <v>2500</v>
      </c>
      <c r="AC16" s="175">
        <f t="shared" si="5"/>
        <v>2500</v>
      </c>
      <c r="AD16" s="175">
        <f t="shared" si="5"/>
        <v>2500</v>
      </c>
      <c r="AE16" s="175">
        <f t="shared" si="5"/>
        <v>2500</v>
      </c>
      <c r="AF16" s="175">
        <f t="shared" si="5"/>
        <v>2500</v>
      </c>
      <c r="AG16" s="175">
        <f t="shared" si="5"/>
        <v>2500</v>
      </c>
      <c r="AH16" s="175">
        <f t="shared" si="5"/>
        <v>2500</v>
      </c>
      <c r="AI16" s="175">
        <f t="shared" si="5"/>
        <v>2500</v>
      </c>
      <c r="AJ16" s="175">
        <f t="shared" si="5"/>
        <v>2500</v>
      </c>
    </row>
    <row r="17" spans="3:37" s="178" customFormat="1" x14ac:dyDescent="0.4">
      <c r="C17" s="178" t="s">
        <v>136</v>
      </c>
      <c r="D17" s="178" t="str">
        <f>baseyear</f>
        <v>FY$24</v>
      </c>
      <c r="E17" s="179" t="e">
        <f>G17+NPV(discountrate,H17:AJ17)</f>
        <v>#DIV/0!</v>
      </c>
      <c r="G17" s="180" t="e">
        <f>G15*G16</f>
        <v>#DIV/0!</v>
      </c>
      <c r="H17" s="180" t="e">
        <f t="shared" ref="H17:AJ17" si="6">H15*H16</f>
        <v>#DIV/0!</v>
      </c>
      <c r="I17" s="180" t="e">
        <f t="shared" si="6"/>
        <v>#DIV/0!</v>
      </c>
      <c r="J17" s="180" t="e">
        <f t="shared" si="6"/>
        <v>#DIV/0!</v>
      </c>
      <c r="K17" s="180" t="e">
        <f t="shared" si="6"/>
        <v>#DIV/0!</v>
      </c>
      <c r="L17" s="180" t="e">
        <f t="shared" si="6"/>
        <v>#DIV/0!</v>
      </c>
      <c r="M17" s="180" t="e">
        <f t="shared" si="6"/>
        <v>#DIV/0!</v>
      </c>
      <c r="N17" s="180" t="e">
        <f t="shared" si="6"/>
        <v>#DIV/0!</v>
      </c>
      <c r="O17" s="180" t="e">
        <f t="shared" si="6"/>
        <v>#DIV/0!</v>
      </c>
      <c r="P17" s="180" t="e">
        <f t="shared" si="6"/>
        <v>#DIV/0!</v>
      </c>
      <c r="Q17" s="180" t="e">
        <f t="shared" si="6"/>
        <v>#DIV/0!</v>
      </c>
      <c r="R17" s="180" t="e">
        <f t="shared" si="6"/>
        <v>#DIV/0!</v>
      </c>
      <c r="S17" s="180" t="e">
        <f t="shared" si="6"/>
        <v>#DIV/0!</v>
      </c>
      <c r="T17" s="180" t="e">
        <f t="shared" si="6"/>
        <v>#DIV/0!</v>
      </c>
      <c r="U17" s="180" t="e">
        <f t="shared" si="6"/>
        <v>#DIV/0!</v>
      </c>
      <c r="V17" s="180" t="e">
        <f t="shared" si="6"/>
        <v>#DIV/0!</v>
      </c>
      <c r="W17" s="180" t="e">
        <f t="shared" si="6"/>
        <v>#DIV/0!</v>
      </c>
      <c r="X17" s="180" t="e">
        <f t="shared" si="6"/>
        <v>#DIV/0!</v>
      </c>
      <c r="Y17" s="180" t="e">
        <f t="shared" si="6"/>
        <v>#DIV/0!</v>
      </c>
      <c r="Z17" s="180" t="e">
        <f t="shared" si="6"/>
        <v>#DIV/0!</v>
      </c>
      <c r="AA17" s="180" t="e">
        <f t="shared" si="6"/>
        <v>#DIV/0!</v>
      </c>
      <c r="AB17" s="180" t="e">
        <f t="shared" si="6"/>
        <v>#DIV/0!</v>
      </c>
      <c r="AC17" s="180" t="e">
        <f t="shared" si="6"/>
        <v>#DIV/0!</v>
      </c>
      <c r="AD17" s="180" t="e">
        <f t="shared" si="6"/>
        <v>#DIV/0!</v>
      </c>
      <c r="AE17" s="180" t="e">
        <f t="shared" si="6"/>
        <v>#DIV/0!</v>
      </c>
      <c r="AF17" s="180" t="e">
        <f t="shared" si="6"/>
        <v>#DIV/0!</v>
      </c>
      <c r="AG17" s="180" t="e">
        <f t="shared" si="6"/>
        <v>#DIV/0!</v>
      </c>
      <c r="AH17" s="180" t="e">
        <f t="shared" si="6"/>
        <v>#DIV/0!</v>
      </c>
      <c r="AI17" s="180" t="e">
        <f t="shared" si="6"/>
        <v>#DIV/0!</v>
      </c>
      <c r="AJ17" s="180" t="e">
        <f t="shared" si="6"/>
        <v>#DIV/0!</v>
      </c>
    </row>
    <row r="19" spans="3:37" ht="15" thickBot="1" x14ac:dyDescent="0.45">
      <c r="C19" s="174" t="str">
        <f>asset2name</f>
        <v>Sewerage treatment plant upgrade name</v>
      </c>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row>
    <row r="21" spans="3:37" x14ac:dyDescent="0.4">
      <c r="C21" s="142" t="str">
        <f>C15</f>
        <v>LRMC of water</v>
      </c>
      <c r="D21" s="142" t="s">
        <v>137</v>
      </c>
      <c r="G21" s="177" t="e">
        <f t="shared" ref="G21:AJ21" si="7">INDEX(LRMCvalues,MATCH($C19,assetnames,0),MATCH(LRMCapproach,LRMCnames,0))</f>
        <v>#DIV/0!</v>
      </c>
      <c r="H21" s="177" t="e">
        <f t="shared" si="7"/>
        <v>#DIV/0!</v>
      </c>
      <c r="I21" s="177" t="e">
        <f t="shared" si="7"/>
        <v>#DIV/0!</v>
      </c>
      <c r="J21" s="177" t="e">
        <f t="shared" si="7"/>
        <v>#DIV/0!</v>
      </c>
      <c r="K21" s="177" t="e">
        <f t="shared" si="7"/>
        <v>#DIV/0!</v>
      </c>
      <c r="L21" s="177" t="e">
        <f t="shared" si="7"/>
        <v>#DIV/0!</v>
      </c>
      <c r="M21" s="177" t="e">
        <f t="shared" si="7"/>
        <v>#DIV/0!</v>
      </c>
      <c r="N21" s="177" t="e">
        <f t="shared" si="7"/>
        <v>#DIV/0!</v>
      </c>
      <c r="O21" s="177" t="e">
        <f t="shared" si="7"/>
        <v>#DIV/0!</v>
      </c>
      <c r="P21" s="177" t="e">
        <f t="shared" si="7"/>
        <v>#DIV/0!</v>
      </c>
      <c r="Q21" s="177" t="e">
        <f t="shared" si="7"/>
        <v>#DIV/0!</v>
      </c>
      <c r="R21" s="177" t="e">
        <f t="shared" si="7"/>
        <v>#DIV/0!</v>
      </c>
      <c r="S21" s="177" t="e">
        <f t="shared" si="7"/>
        <v>#DIV/0!</v>
      </c>
      <c r="T21" s="177" t="e">
        <f t="shared" si="7"/>
        <v>#DIV/0!</v>
      </c>
      <c r="U21" s="177" t="e">
        <f t="shared" si="7"/>
        <v>#DIV/0!</v>
      </c>
      <c r="V21" s="177" t="e">
        <f t="shared" si="7"/>
        <v>#DIV/0!</v>
      </c>
      <c r="W21" s="177" t="e">
        <f t="shared" si="7"/>
        <v>#DIV/0!</v>
      </c>
      <c r="X21" s="177" t="e">
        <f t="shared" si="7"/>
        <v>#DIV/0!</v>
      </c>
      <c r="Y21" s="177" t="e">
        <f t="shared" si="7"/>
        <v>#DIV/0!</v>
      </c>
      <c r="Z21" s="177" t="e">
        <f t="shared" si="7"/>
        <v>#DIV/0!</v>
      </c>
      <c r="AA21" s="177" t="e">
        <f t="shared" si="7"/>
        <v>#DIV/0!</v>
      </c>
      <c r="AB21" s="177" t="e">
        <f t="shared" si="7"/>
        <v>#DIV/0!</v>
      </c>
      <c r="AC21" s="177" t="e">
        <f t="shared" si="7"/>
        <v>#DIV/0!</v>
      </c>
      <c r="AD21" s="177" t="e">
        <f t="shared" si="7"/>
        <v>#DIV/0!</v>
      </c>
      <c r="AE21" s="177" t="e">
        <f t="shared" si="7"/>
        <v>#DIV/0!</v>
      </c>
      <c r="AF21" s="177" t="e">
        <f t="shared" si="7"/>
        <v>#DIV/0!</v>
      </c>
      <c r="AG21" s="177" t="e">
        <f t="shared" si="7"/>
        <v>#DIV/0!</v>
      </c>
      <c r="AH21" s="177" t="e">
        <f t="shared" si="7"/>
        <v>#DIV/0!</v>
      </c>
      <c r="AI21" s="177" t="e">
        <f t="shared" si="7"/>
        <v>#DIV/0!</v>
      </c>
      <c r="AJ21" s="177" t="e">
        <f t="shared" si="7"/>
        <v>#DIV/0!</v>
      </c>
    </row>
    <row r="22" spans="3:37" x14ac:dyDescent="0.4">
      <c r="C22" s="142" t="str">
        <f t="shared" ref="C22:C23" si="8">C16</f>
        <v>Water saved</v>
      </c>
      <c r="D22" s="142" t="s">
        <v>138</v>
      </c>
      <c r="G22" s="175">
        <f t="shared" ref="G22:AJ22" si="9">INDEX(watersaved,MATCH($C19,watersavednames,0),MATCH(G$9,years,0))</f>
        <v>2500</v>
      </c>
      <c r="H22" s="175">
        <f t="shared" si="9"/>
        <v>2500</v>
      </c>
      <c r="I22" s="175">
        <f t="shared" si="9"/>
        <v>2500</v>
      </c>
      <c r="J22" s="175">
        <f t="shared" si="9"/>
        <v>2500</v>
      </c>
      <c r="K22" s="175">
        <f t="shared" si="9"/>
        <v>2500</v>
      </c>
      <c r="L22" s="175">
        <f t="shared" si="9"/>
        <v>2500</v>
      </c>
      <c r="M22" s="175">
        <f t="shared" si="9"/>
        <v>2500</v>
      </c>
      <c r="N22" s="175">
        <f t="shared" si="9"/>
        <v>2500</v>
      </c>
      <c r="O22" s="175">
        <f t="shared" si="9"/>
        <v>2500</v>
      </c>
      <c r="P22" s="175">
        <f t="shared" si="9"/>
        <v>2500</v>
      </c>
      <c r="Q22" s="175">
        <f t="shared" si="9"/>
        <v>2500</v>
      </c>
      <c r="R22" s="175">
        <f t="shared" si="9"/>
        <v>2500</v>
      </c>
      <c r="S22" s="175">
        <f t="shared" si="9"/>
        <v>2500</v>
      </c>
      <c r="T22" s="175">
        <f t="shared" si="9"/>
        <v>2500</v>
      </c>
      <c r="U22" s="175">
        <f t="shared" si="9"/>
        <v>2500</v>
      </c>
      <c r="V22" s="175">
        <f t="shared" si="9"/>
        <v>2500</v>
      </c>
      <c r="W22" s="175">
        <f t="shared" si="9"/>
        <v>2500</v>
      </c>
      <c r="X22" s="175">
        <f t="shared" si="9"/>
        <v>2500</v>
      </c>
      <c r="Y22" s="175">
        <f t="shared" si="9"/>
        <v>2500</v>
      </c>
      <c r="Z22" s="175">
        <f t="shared" si="9"/>
        <v>2500</v>
      </c>
      <c r="AA22" s="175">
        <f t="shared" si="9"/>
        <v>2500</v>
      </c>
      <c r="AB22" s="175">
        <f t="shared" si="9"/>
        <v>2500</v>
      </c>
      <c r="AC22" s="175">
        <f t="shared" si="9"/>
        <v>2500</v>
      </c>
      <c r="AD22" s="175">
        <f t="shared" si="9"/>
        <v>2500</v>
      </c>
      <c r="AE22" s="175">
        <f t="shared" si="9"/>
        <v>2500</v>
      </c>
      <c r="AF22" s="175">
        <f t="shared" si="9"/>
        <v>2500</v>
      </c>
      <c r="AG22" s="175">
        <f t="shared" si="9"/>
        <v>2500</v>
      </c>
      <c r="AH22" s="175">
        <f t="shared" si="9"/>
        <v>2500</v>
      </c>
      <c r="AI22" s="175">
        <f t="shared" si="9"/>
        <v>2500</v>
      </c>
      <c r="AJ22" s="175">
        <f t="shared" si="9"/>
        <v>2500</v>
      </c>
    </row>
    <row r="23" spans="3:37" s="178" customFormat="1" x14ac:dyDescent="0.4">
      <c r="C23" s="178" t="str">
        <f t="shared" si="8"/>
        <v>Value of water saved</v>
      </c>
      <c r="D23" s="178" t="str">
        <f>baseyear</f>
        <v>FY$24</v>
      </c>
      <c r="E23" s="179" t="e">
        <f>G23+NPV(discountrate,H23:AJ23)</f>
        <v>#DIV/0!</v>
      </c>
      <c r="G23" s="180" t="e">
        <f>G21*G22</f>
        <v>#DIV/0!</v>
      </c>
      <c r="H23" s="180" t="e">
        <f t="shared" ref="H23:AJ23" si="10">H21*H22</f>
        <v>#DIV/0!</v>
      </c>
      <c r="I23" s="180" t="e">
        <f t="shared" si="10"/>
        <v>#DIV/0!</v>
      </c>
      <c r="J23" s="180" t="e">
        <f t="shared" si="10"/>
        <v>#DIV/0!</v>
      </c>
      <c r="K23" s="180" t="e">
        <f t="shared" si="10"/>
        <v>#DIV/0!</v>
      </c>
      <c r="L23" s="180" t="e">
        <f t="shared" si="10"/>
        <v>#DIV/0!</v>
      </c>
      <c r="M23" s="180" t="e">
        <f t="shared" si="10"/>
        <v>#DIV/0!</v>
      </c>
      <c r="N23" s="180" t="e">
        <f t="shared" si="10"/>
        <v>#DIV/0!</v>
      </c>
      <c r="O23" s="180" t="e">
        <f t="shared" si="10"/>
        <v>#DIV/0!</v>
      </c>
      <c r="P23" s="180" t="e">
        <f t="shared" si="10"/>
        <v>#DIV/0!</v>
      </c>
      <c r="Q23" s="180" t="e">
        <f t="shared" si="10"/>
        <v>#DIV/0!</v>
      </c>
      <c r="R23" s="180" t="e">
        <f t="shared" si="10"/>
        <v>#DIV/0!</v>
      </c>
      <c r="S23" s="180" t="e">
        <f t="shared" si="10"/>
        <v>#DIV/0!</v>
      </c>
      <c r="T23" s="180" t="e">
        <f t="shared" si="10"/>
        <v>#DIV/0!</v>
      </c>
      <c r="U23" s="180" t="e">
        <f t="shared" si="10"/>
        <v>#DIV/0!</v>
      </c>
      <c r="V23" s="180" t="e">
        <f t="shared" si="10"/>
        <v>#DIV/0!</v>
      </c>
      <c r="W23" s="180" t="e">
        <f t="shared" si="10"/>
        <v>#DIV/0!</v>
      </c>
      <c r="X23" s="180" t="e">
        <f t="shared" si="10"/>
        <v>#DIV/0!</v>
      </c>
      <c r="Y23" s="180" t="e">
        <f t="shared" si="10"/>
        <v>#DIV/0!</v>
      </c>
      <c r="Z23" s="180" t="e">
        <f t="shared" si="10"/>
        <v>#DIV/0!</v>
      </c>
      <c r="AA23" s="180" t="e">
        <f t="shared" si="10"/>
        <v>#DIV/0!</v>
      </c>
      <c r="AB23" s="180" t="e">
        <f t="shared" si="10"/>
        <v>#DIV/0!</v>
      </c>
      <c r="AC23" s="180" t="e">
        <f t="shared" si="10"/>
        <v>#DIV/0!</v>
      </c>
      <c r="AD23" s="180" t="e">
        <f t="shared" si="10"/>
        <v>#DIV/0!</v>
      </c>
      <c r="AE23" s="180" t="e">
        <f t="shared" si="10"/>
        <v>#DIV/0!</v>
      </c>
      <c r="AF23" s="180" t="e">
        <f t="shared" si="10"/>
        <v>#DIV/0!</v>
      </c>
      <c r="AG23" s="180" t="e">
        <f t="shared" si="10"/>
        <v>#DIV/0!</v>
      </c>
      <c r="AH23" s="180" t="e">
        <f t="shared" si="10"/>
        <v>#DIV/0!</v>
      </c>
      <c r="AI23" s="180" t="e">
        <f t="shared" si="10"/>
        <v>#DIV/0!</v>
      </c>
      <c r="AJ23" s="180" t="e">
        <f t="shared" si="10"/>
        <v>#DIV/0!</v>
      </c>
    </row>
    <row r="25" spans="3:37" ht="15" thickBot="1" x14ac:dyDescent="0.45">
      <c r="C25" s="174" t="str">
        <f>asset3name</f>
        <v>Discharge / ocean outfall upgrade name</v>
      </c>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7"/>
    </row>
    <row r="27" spans="3:37" x14ac:dyDescent="0.4">
      <c r="C27" s="142" t="str">
        <f>C15</f>
        <v>LRMC of water</v>
      </c>
      <c r="D27" s="142" t="s">
        <v>137</v>
      </c>
      <c r="G27" s="177" t="e">
        <f t="shared" ref="G27:AJ27" si="11">INDEX(LRMCvalues,MATCH($C25,assetnames,0),MATCH(LRMCapproach, LRMCnames,0))</f>
        <v>#DIV/0!</v>
      </c>
      <c r="H27" s="177" t="e">
        <f t="shared" si="11"/>
        <v>#DIV/0!</v>
      </c>
      <c r="I27" s="177" t="e">
        <f t="shared" si="11"/>
        <v>#DIV/0!</v>
      </c>
      <c r="J27" s="177" t="e">
        <f t="shared" si="11"/>
        <v>#DIV/0!</v>
      </c>
      <c r="K27" s="177" t="e">
        <f t="shared" si="11"/>
        <v>#DIV/0!</v>
      </c>
      <c r="L27" s="177" t="e">
        <f t="shared" si="11"/>
        <v>#DIV/0!</v>
      </c>
      <c r="M27" s="177" t="e">
        <f t="shared" si="11"/>
        <v>#DIV/0!</v>
      </c>
      <c r="N27" s="177" t="e">
        <f t="shared" si="11"/>
        <v>#DIV/0!</v>
      </c>
      <c r="O27" s="177" t="e">
        <f t="shared" si="11"/>
        <v>#DIV/0!</v>
      </c>
      <c r="P27" s="177" t="e">
        <f t="shared" si="11"/>
        <v>#DIV/0!</v>
      </c>
      <c r="Q27" s="177" t="e">
        <f t="shared" si="11"/>
        <v>#DIV/0!</v>
      </c>
      <c r="R27" s="177" t="e">
        <f t="shared" si="11"/>
        <v>#DIV/0!</v>
      </c>
      <c r="S27" s="177" t="e">
        <f t="shared" si="11"/>
        <v>#DIV/0!</v>
      </c>
      <c r="T27" s="177" t="e">
        <f t="shared" si="11"/>
        <v>#DIV/0!</v>
      </c>
      <c r="U27" s="177" t="e">
        <f t="shared" si="11"/>
        <v>#DIV/0!</v>
      </c>
      <c r="V27" s="177" t="e">
        <f t="shared" si="11"/>
        <v>#DIV/0!</v>
      </c>
      <c r="W27" s="177" t="e">
        <f t="shared" si="11"/>
        <v>#DIV/0!</v>
      </c>
      <c r="X27" s="177" t="e">
        <f t="shared" si="11"/>
        <v>#DIV/0!</v>
      </c>
      <c r="Y27" s="177" t="e">
        <f t="shared" si="11"/>
        <v>#DIV/0!</v>
      </c>
      <c r="Z27" s="177" t="e">
        <f t="shared" si="11"/>
        <v>#DIV/0!</v>
      </c>
      <c r="AA27" s="177" t="e">
        <f t="shared" si="11"/>
        <v>#DIV/0!</v>
      </c>
      <c r="AB27" s="177" t="e">
        <f t="shared" si="11"/>
        <v>#DIV/0!</v>
      </c>
      <c r="AC27" s="177" t="e">
        <f t="shared" si="11"/>
        <v>#DIV/0!</v>
      </c>
      <c r="AD27" s="177" t="e">
        <f t="shared" si="11"/>
        <v>#DIV/0!</v>
      </c>
      <c r="AE27" s="177" t="e">
        <f t="shared" si="11"/>
        <v>#DIV/0!</v>
      </c>
      <c r="AF27" s="177" t="e">
        <f t="shared" si="11"/>
        <v>#DIV/0!</v>
      </c>
      <c r="AG27" s="177" t="e">
        <f t="shared" si="11"/>
        <v>#DIV/0!</v>
      </c>
      <c r="AH27" s="177" t="e">
        <f t="shared" si="11"/>
        <v>#DIV/0!</v>
      </c>
      <c r="AI27" s="177" t="e">
        <f t="shared" si="11"/>
        <v>#DIV/0!</v>
      </c>
      <c r="AJ27" s="177" t="e">
        <f t="shared" si="11"/>
        <v>#DIV/0!</v>
      </c>
    </row>
    <row r="28" spans="3:37" x14ac:dyDescent="0.4">
      <c r="C28" s="142" t="str">
        <f t="shared" ref="C28:C29" si="12">C16</f>
        <v>Water saved</v>
      </c>
      <c r="D28" s="142" t="s">
        <v>138</v>
      </c>
      <c r="G28" s="175">
        <f t="shared" ref="G28:AJ28" si="13">INDEX(watersaved,MATCH($C25,watersavednames,0),MATCH(G$9,years,0))</f>
        <v>2500</v>
      </c>
      <c r="H28" s="175">
        <f t="shared" si="13"/>
        <v>2500</v>
      </c>
      <c r="I28" s="175">
        <f t="shared" si="13"/>
        <v>2500</v>
      </c>
      <c r="J28" s="175">
        <f t="shared" si="13"/>
        <v>2500</v>
      </c>
      <c r="K28" s="175">
        <f t="shared" si="13"/>
        <v>2500</v>
      </c>
      <c r="L28" s="175">
        <f t="shared" si="13"/>
        <v>2500</v>
      </c>
      <c r="M28" s="175">
        <f t="shared" si="13"/>
        <v>2500</v>
      </c>
      <c r="N28" s="175">
        <f t="shared" si="13"/>
        <v>2500</v>
      </c>
      <c r="O28" s="175">
        <f t="shared" si="13"/>
        <v>2500</v>
      </c>
      <c r="P28" s="175">
        <f t="shared" si="13"/>
        <v>2500</v>
      </c>
      <c r="Q28" s="175">
        <f t="shared" si="13"/>
        <v>2500</v>
      </c>
      <c r="R28" s="175">
        <f t="shared" si="13"/>
        <v>2500</v>
      </c>
      <c r="S28" s="175">
        <f t="shared" si="13"/>
        <v>2500</v>
      </c>
      <c r="T28" s="175">
        <f t="shared" si="13"/>
        <v>2500</v>
      </c>
      <c r="U28" s="175">
        <f t="shared" si="13"/>
        <v>2500</v>
      </c>
      <c r="V28" s="175">
        <f t="shared" si="13"/>
        <v>2500</v>
      </c>
      <c r="W28" s="175">
        <f t="shared" si="13"/>
        <v>2500</v>
      </c>
      <c r="X28" s="175">
        <f t="shared" si="13"/>
        <v>2500</v>
      </c>
      <c r="Y28" s="175">
        <f t="shared" si="13"/>
        <v>2500</v>
      </c>
      <c r="Z28" s="175">
        <f t="shared" si="13"/>
        <v>2500</v>
      </c>
      <c r="AA28" s="175">
        <f t="shared" si="13"/>
        <v>2500</v>
      </c>
      <c r="AB28" s="175">
        <f t="shared" si="13"/>
        <v>2500</v>
      </c>
      <c r="AC28" s="175">
        <f t="shared" si="13"/>
        <v>2500</v>
      </c>
      <c r="AD28" s="175">
        <f t="shared" si="13"/>
        <v>2500</v>
      </c>
      <c r="AE28" s="175">
        <f t="shared" si="13"/>
        <v>2500</v>
      </c>
      <c r="AF28" s="175">
        <f t="shared" si="13"/>
        <v>2500</v>
      </c>
      <c r="AG28" s="175">
        <f t="shared" si="13"/>
        <v>2500</v>
      </c>
      <c r="AH28" s="175">
        <f t="shared" si="13"/>
        <v>2500</v>
      </c>
      <c r="AI28" s="175">
        <f t="shared" si="13"/>
        <v>2500</v>
      </c>
      <c r="AJ28" s="175">
        <f t="shared" si="13"/>
        <v>2500</v>
      </c>
    </row>
    <row r="29" spans="3:37" s="178" customFormat="1" x14ac:dyDescent="0.4">
      <c r="C29" s="178" t="str">
        <f t="shared" si="12"/>
        <v>Value of water saved</v>
      </c>
      <c r="D29" s="178" t="str">
        <f>baseyear</f>
        <v>FY$24</v>
      </c>
      <c r="E29" s="179" t="e">
        <f>G29+NPV(discountrate,H29:AJ29)</f>
        <v>#DIV/0!</v>
      </c>
      <c r="G29" s="180" t="e">
        <f>G27*G28</f>
        <v>#DIV/0!</v>
      </c>
      <c r="H29" s="180" t="e">
        <f t="shared" ref="H29:AJ29" si="14">H27*H28</f>
        <v>#DIV/0!</v>
      </c>
      <c r="I29" s="180" t="e">
        <f t="shared" si="14"/>
        <v>#DIV/0!</v>
      </c>
      <c r="J29" s="180" t="e">
        <f t="shared" si="14"/>
        <v>#DIV/0!</v>
      </c>
      <c r="K29" s="180" t="e">
        <f t="shared" si="14"/>
        <v>#DIV/0!</v>
      </c>
      <c r="L29" s="180" t="e">
        <f t="shared" si="14"/>
        <v>#DIV/0!</v>
      </c>
      <c r="M29" s="180" t="e">
        <f t="shared" si="14"/>
        <v>#DIV/0!</v>
      </c>
      <c r="N29" s="180" t="e">
        <f t="shared" si="14"/>
        <v>#DIV/0!</v>
      </c>
      <c r="O29" s="180" t="e">
        <f t="shared" si="14"/>
        <v>#DIV/0!</v>
      </c>
      <c r="P29" s="180" t="e">
        <f t="shared" si="14"/>
        <v>#DIV/0!</v>
      </c>
      <c r="Q29" s="180" t="e">
        <f t="shared" si="14"/>
        <v>#DIV/0!</v>
      </c>
      <c r="R29" s="180" t="e">
        <f t="shared" si="14"/>
        <v>#DIV/0!</v>
      </c>
      <c r="S29" s="180" t="e">
        <f t="shared" si="14"/>
        <v>#DIV/0!</v>
      </c>
      <c r="T29" s="180" t="e">
        <f t="shared" si="14"/>
        <v>#DIV/0!</v>
      </c>
      <c r="U29" s="180" t="e">
        <f t="shared" si="14"/>
        <v>#DIV/0!</v>
      </c>
      <c r="V29" s="180" t="e">
        <f t="shared" si="14"/>
        <v>#DIV/0!</v>
      </c>
      <c r="W29" s="180" t="e">
        <f t="shared" si="14"/>
        <v>#DIV/0!</v>
      </c>
      <c r="X29" s="180" t="e">
        <f t="shared" si="14"/>
        <v>#DIV/0!</v>
      </c>
      <c r="Y29" s="180" t="e">
        <f t="shared" si="14"/>
        <v>#DIV/0!</v>
      </c>
      <c r="Z29" s="180" t="e">
        <f t="shared" si="14"/>
        <v>#DIV/0!</v>
      </c>
      <c r="AA29" s="180" t="e">
        <f t="shared" si="14"/>
        <v>#DIV/0!</v>
      </c>
      <c r="AB29" s="180" t="e">
        <f t="shared" si="14"/>
        <v>#DIV/0!</v>
      </c>
      <c r="AC29" s="180" t="e">
        <f t="shared" si="14"/>
        <v>#DIV/0!</v>
      </c>
      <c r="AD29" s="180" t="e">
        <f t="shared" si="14"/>
        <v>#DIV/0!</v>
      </c>
      <c r="AE29" s="180" t="e">
        <f t="shared" si="14"/>
        <v>#DIV/0!</v>
      </c>
      <c r="AF29" s="180" t="e">
        <f t="shared" si="14"/>
        <v>#DIV/0!</v>
      </c>
      <c r="AG29" s="180" t="e">
        <f t="shared" si="14"/>
        <v>#DIV/0!</v>
      </c>
      <c r="AH29" s="180" t="e">
        <f t="shared" si="14"/>
        <v>#DIV/0!</v>
      </c>
      <c r="AI29" s="180" t="e">
        <f t="shared" si="14"/>
        <v>#DIV/0!</v>
      </c>
      <c r="AJ29" s="180" t="e">
        <f t="shared" si="14"/>
        <v>#DIV/0!</v>
      </c>
    </row>
    <row r="31" spans="3:37" ht="15" thickBot="1" x14ac:dyDescent="0.45">
      <c r="C31" s="174" t="s">
        <v>151</v>
      </c>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row>
    <row r="33" spans="2:37" x14ac:dyDescent="0.4">
      <c r="C33" s="142" t="str">
        <f>"Total value of water saved - "&amp;C13</f>
        <v>Total value of water saved - Network upgrade name</v>
      </c>
      <c r="E33" s="188" t="e">
        <v>#DIV/0!</v>
      </c>
      <c r="G33" s="181" t="e">
        <f>G17</f>
        <v>#DIV/0!</v>
      </c>
      <c r="H33" s="181" t="e">
        <f t="shared" ref="H33:AJ33" si="15">H17</f>
        <v>#DIV/0!</v>
      </c>
      <c r="I33" s="181" t="e">
        <f t="shared" si="15"/>
        <v>#DIV/0!</v>
      </c>
      <c r="J33" s="181" t="e">
        <f t="shared" si="15"/>
        <v>#DIV/0!</v>
      </c>
      <c r="K33" s="181" t="e">
        <f t="shared" si="15"/>
        <v>#DIV/0!</v>
      </c>
      <c r="L33" s="181" t="e">
        <f t="shared" si="15"/>
        <v>#DIV/0!</v>
      </c>
      <c r="M33" s="181" t="e">
        <f t="shared" si="15"/>
        <v>#DIV/0!</v>
      </c>
      <c r="N33" s="181" t="e">
        <f t="shared" si="15"/>
        <v>#DIV/0!</v>
      </c>
      <c r="O33" s="181" t="e">
        <f t="shared" si="15"/>
        <v>#DIV/0!</v>
      </c>
      <c r="P33" s="181" t="e">
        <f t="shared" si="15"/>
        <v>#DIV/0!</v>
      </c>
      <c r="Q33" s="181" t="e">
        <f t="shared" si="15"/>
        <v>#DIV/0!</v>
      </c>
      <c r="R33" s="181" t="e">
        <f t="shared" si="15"/>
        <v>#DIV/0!</v>
      </c>
      <c r="S33" s="181" t="e">
        <f t="shared" si="15"/>
        <v>#DIV/0!</v>
      </c>
      <c r="T33" s="181" t="e">
        <f t="shared" si="15"/>
        <v>#DIV/0!</v>
      </c>
      <c r="U33" s="181" t="e">
        <f t="shared" si="15"/>
        <v>#DIV/0!</v>
      </c>
      <c r="V33" s="181" t="e">
        <f t="shared" si="15"/>
        <v>#DIV/0!</v>
      </c>
      <c r="W33" s="181" t="e">
        <f t="shared" si="15"/>
        <v>#DIV/0!</v>
      </c>
      <c r="X33" s="181" t="e">
        <f t="shared" si="15"/>
        <v>#DIV/0!</v>
      </c>
      <c r="Y33" s="181" t="e">
        <f t="shared" si="15"/>
        <v>#DIV/0!</v>
      </c>
      <c r="Z33" s="181" t="e">
        <f t="shared" si="15"/>
        <v>#DIV/0!</v>
      </c>
      <c r="AA33" s="181" t="e">
        <f t="shared" si="15"/>
        <v>#DIV/0!</v>
      </c>
      <c r="AB33" s="181" t="e">
        <f t="shared" si="15"/>
        <v>#DIV/0!</v>
      </c>
      <c r="AC33" s="181" t="e">
        <f t="shared" si="15"/>
        <v>#DIV/0!</v>
      </c>
      <c r="AD33" s="181" t="e">
        <f t="shared" si="15"/>
        <v>#DIV/0!</v>
      </c>
      <c r="AE33" s="181" t="e">
        <f t="shared" si="15"/>
        <v>#DIV/0!</v>
      </c>
      <c r="AF33" s="181" t="e">
        <f t="shared" si="15"/>
        <v>#DIV/0!</v>
      </c>
      <c r="AG33" s="181" t="e">
        <f t="shared" si="15"/>
        <v>#DIV/0!</v>
      </c>
      <c r="AH33" s="181" t="e">
        <f t="shared" si="15"/>
        <v>#DIV/0!</v>
      </c>
      <c r="AI33" s="181" t="e">
        <f t="shared" si="15"/>
        <v>#DIV/0!</v>
      </c>
      <c r="AJ33" s="181" t="e">
        <f t="shared" si="15"/>
        <v>#DIV/0!</v>
      </c>
    </row>
    <row r="34" spans="2:37" x14ac:dyDescent="0.4">
      <c r="C34" s="142" t="str">
        <f>"Total value of water saved - "&amp;C19</f>
        <v>Total value of water saved - Sewerage treatment plant upgrade name</v>
      </c>
      <c r="E34" s="188" t="e">
        <v>#DIV/0!</v>
      </c>
      <c r="G34" s="182" t="e">
        <f>G23</f>
        <v>#DIV/0!</v>
      </c>
      <c r="H34" s="182" t="e">
        <f t="shared" ref="H34:AJ34" si="16">H23</f>
        <v>#DIV/0!</v>
      </c>
      <c r="I34" s="182" t="e">
        <f t="shared" si="16"/>
        <v>#DIV/0!</v>
      </c>
      <c r="J34" s="182" t="e">
        <f t="shared" si="16"/>
        <v>#DIV/0!</v>
      </c>
      <c r="K34" s="182" t="e">
        <f t="shared" si="16"/>
        <v>#DIV/0!</v>
      </c>
      <c r="L34" s="182" t="e">
        <f t="shared" si="16"/>
        <v>#DIV/0!</v>
      </c>
      <c r="M34" s="182" t="e">
        <f t="shared" si="16"/>
        <v>#DIV/0!</v>
      </c>
      <c r="N34" s="182" t="e">
        <f t="shared" si="16"/>
        <v>#DIV/0!</v>
      </c>
      <c r="O34" s="182" t="e">
        <f t="shared" si="16"/>
        <v>#DIV/0!</v>
      </c>
      <c r="P34" s="182" t="e">
        <f t="shared" si="16"/>
        <v>#DIV/0!</v>
      </c>
      <c r="Q34" s="182" t="e">
        <f t="shared" si="16"/>
        <v>#DIV/0!</v>
      </c>
      <c r="R34" s="182" t="e">
        <f t="shared" si="16"/>
        <v>#DIV/0!</v>
      </c>
      <c r="S34" s="182" t="e">
        <f t="shared" si="16"/>
        <v>#DIV/0!</v>
      </c>
      <c r="T34" s="182" t="e">
        <f t="shared" si="16"/>
        <v>#DIV/0!</v>
      </c>
      <c r="U34" s="182" t="e">
        <f t="shared" si="16"/>
        <v>#DIV/0!</v>
      </c>
      <c r="V34" s="182" t="e">
        <f t="shared" si="16"/>
        <v>#DIV/0!</v>
      </c>
      <c r="W34" s="182" t="e">
        <f t="shared" si="16"/>
        <v>#DIV/0!</v>
      </c>
      <c r="X34" s="182" t="e">
        <f t="shared" si="16"/>
        <v>#DIV/0!</v>
      </c>
      <c r="Y34" s="182" t="e">
        <f t="shared" si="16"/>
        <v>#DIV/0!</v>
      </c>
      <c r="Z34" s="182" t="e">
        <f t="shared" si="16"/>
        <v>#DIV/0!</v>
      </c>
      <c r="AA34" s="182" t="e">
        <f t="shared" si="16"/>
        <v>#DIV/0!</v>
      </c>
      <c r="AB34" s="182" t="e">
        <f t="shared" si="16"/>
        <v>#DIV/0!</v>
      </c>
      <c r="AC34" s="182" t="e">
        <f t="shared" si="16"/>
        <v>#DIV/0!</v>
      </c>
      <c r="AD34" s="182" t="e">
        <f t="shared" si="16"/>
        <v>#DIV/0!</v>
      </c>
      <c r="AE34" s="182" t="e">
        <f t="shared" si="16"/>
        <v>#DIV/0!</v>
      </c>
      <c r="AF34" s="182" t="e">
        <f t="shared" si="16"/>
        <v>#DIV/0!</v>
      </c>
      <c r="AG34" s="182" t="e">
        <f t="shared" si="16"/>
        <v>#DIV/0!</v>
      </c>
      <c r="AH34" s="182" t="e">
        <f t="shared" si="16"/>
        <v>#DIV/0!</v>
      </c>
      <c r="AI34" s="182" t="e">
        <f t="shared" si="16"/>
        <v>#DIV/0!</v>
      </c>
      <c r="AJ34" s="182" t="e">
        <f t="shared" si="16"/>
        <v>#DIV/0!</v>
      </c>
    </row>
    <row r="35" spans="2:37" x14ac:dyDescent="0.4">
      <c r="C35" s="142" t="str">
        <f>"Total value of water saved - "&amp;C25</f>
        <v>Total value of water saved - Discharge / ocean outfall upgrade name</v>
      </c>
      <c r="E35" s="188" t="e">
        <v>#DIV/0!</v>
      </c>
      <c r="G35" s="182" t="e">
        <f>G29</f>
        <v>#DIV/0!</v>
      </c>
      <c r="H35" s="182" t="e">
        <f t="shared" ref="H35:AJ35" si="17">H29</f>
        <v>#DIV/0!</v>
      </c>
      <c r="I35" s="182" t="e">
        <f t="shared" si="17"/>
        <v>#DIV/0!</v>
      </c>
      <c r="J35" s="182" t="e">
        <f t="shared" si="17"/>
        <v>#DIV/0!</v>
      </c>
      <c r="K35" s="182" t="e">
        <f t="shared" si="17"/>
        <v>#DIV/0!</v>
      </c>
      <c r="L35" s="182" t="e">
        <f t="shared" si="17"/>
        <v>#DIV/0!</v>
      </c>
      <c r="M35" s="182" t="e">
        <f t="shared" si="17"/>
        <v>#DIV/0!</v>
      </c>
      <c r="N35" s="182" t="e">
        <f t="shared" si="17"/>
        <v>#DIV/0!</v>
      </c>
      <c r="O35" s="182" t="e">
        <f t="shared" si="17"/>
        <v>#DIV/0!</v>
      </c>
      <c r="P35" s="182" t="e">
        <f t="shared" si="17"/>
        <v>#DIV/0!</v>
      </c>
      <c r="Q35" s="182" t="e">
        <f t="shared" si="17"/>
        <v>#DIV/0!</v>
      </c>
      <c r="R35" s="182" t="e">
        <f t="shared" si="17"/>
        <v>#DIV/0!</v>
      </c>
      <c r="S35" s="182" t="e">
        <f t="shared" si="17"/>
        <v>#DIV/0!</v>
      </c>
      <c r="T35" s="182" t="e">
        <f t="shared" si="17"/>
        <v>#DIV/0!</v>
      </c>
      <c r="U35" s="182" t="e">
        <f t="shared" si="17"/>
        <v>#DIV/0!</v>
      </c>
      <c r="V35" s="182" t="e">
        <f t="shared" si="17"/>
        <v>#DIV/0!</v>
      </c>
      <c r="W35" s="182" t="e">
        <f t="shared" si="17"/>
        <v>#DIV/0!</v>
      </c>
      <c r="X35" s="182" t="e">
        <f t="shared" si="17"/>
        <v>#DIV/0!</v>
      </c>
      <c r="Y35" s="182" t="e">
        <f t="shared" si="17"/>
        <v>#DIV/0!</v>
      </c>
      <c r="Z35" s="182" t="e">
        <f t="shared" si="17"/>
        <v>#DIV/0!</v>
      </c>
      <c r="AA35" s="182" t="e">
        <f t="shared" si="17"/>
        <v>#DIV/0!</v>
      </c>
      <c r="AB35" s="182" t="e">
        <f t="shared" si="17"/>
        <v>#DIV/0!</v>
      </c>
      <c r="AC35" s="182" t="e">
        <f t="shared" si="17"/>
        <v>#DIV/0!</v>
      </c>
      <c r="AD35" s="182" t="e">
        <f t="shared" si="17"/>
        <v>#DIV/0!</v>
      </c>
      <c r="AE35" s="182" t="e">
        <f t="shared" si="17"/>
        <v>#DIV/0!</v>
      </c>
      <c r="AF35" s="182" t="e">
        <f t="shared" si="17"/>
        <v>#DIV/0!</v>
      </c>
      <c r="AG35" s="182" t="e">
        <f t="shared" si="17"/>
        <v>#DIV/0!</v>
      </c>
      <c r="AH35" s="182" t="e">
        <f t="shared" si="17"/>
        <v>#DIV/0!</v>
      </c>
      <c r="AI35" s="182" t="e">
        <f t="shared" si="17"/>
        <v>#DIV/0!</v>
      </c>
      <c r="AJ35" s="182" t="e">
        <f t="shared" si="17"/>
        <v>#DIV/0!</v>
      </c>
    </row>
    <row r="36" spans="2:37" x14ac:dyDescent="0.4">
      <c r="E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row>
    <row r="37" spans="2:37" s="178" customFormat="1" x14ac:dyDescent="0.4">
      <c r="C37" s="178" t="s">
        <v>152</v>
      </c>
      <c r="D37" s="184"/>
      <c r="E37" s="189" t="e">
        <v>#DIV/0!</v>
      </c>
      <c r="G37" s="185" t="e">
        <f>SUM(G33:G35)</f>
        <v>#DIV/0!</v>
      </c>
      <c r="H37" s="185" t="e">
        <f t="shared" ref="H37:AJ37" si="18">SUM(H33:H35)</f>
        <v>#DIV/0!</v>
      </c>
      <c r="I37" s="185" t="e">
        <f t="shared" si="18"/>
        <v>#DIV/0!</v>
      </c>
      <c r="J37" s="185" t="e">
        <f t="shared" si="18"/>
        <v>#DIV/0!</v>
      </c>
      <c r="K37" s="185" t="e">
        <f t="shared" si="18"/>
        <v>#DIV/0!</v>
      </c>
      <c r="L37" s="185" t="e">
        <f t="shared" si="18"/>
        <v>#DIV/0!</v>
      </c>
      <c r="M37" s="185" t="e">
        <f t="shared" si="18"/>
        <v>#DIV/0!</v>
      </c>
      <c r="N37" s="185" t="e">
        <f t="shared" si="18"/>
        <v>#DIV/0!</v>
      </c>
      <c r="O37" s="185" t="e">
        <f t="shared" si="18"/>
        <v>#DIV/0!</v>
      </c>
      <c r="P37" s="185" t="e">
        <f t="shared" si="18"/>
        <v>#DIV/0!</v>
      </c>
      <c r="Q37" s="185" t="e">
        <f t="shared" si="18"/>
        <v>#DIV/0!</v>
      </c>
      <c r="R37" s="185" t="e">
        <f t="shared" si="18"/>
        <v>#DIV/0!</v>
      </c>
      <c r="S37" s="185" t="e">
        <f t="shared" si="18"/>
        <v>#DIV/0!</v>
      </c>
      <c r="T37" s="185" t="e">
        <f t="shared" si="18"/>
        <v>#DIV/0!</v>
      </c>
      <c r="U37" s="185" t="e">
        <f t="shared" si="18"/>
        <v>#DIV/0!</v>
      </c>
      <c r="V37" s="185" t="e">
        <f t="shared" si="18"/>
        <v>#DIV/0!</v>
      </c>
      <c r="W37" s="185" t="e">
        <f t="shared" si="18"/>
        <v>#DIV/0!</v>
      </c>
      <c r="X37" s="185" t="e">
        <f t="shared" si="18"/>
        <v>#DIV/0!</v>
      </c>
      <c r="Y37" s="185" t="e">
        <f t="shared" si="18"/>
        <v>#DIV/0!</v>
      </c>
      <c r="Z37" s="185" t="e">
        <f t="shared" si="18"/>
        <v>#DIV/0!</v>
      </c>
      <c r="AA37" s="185" t="e">
        <f t="shared" si="18"/>
        <v>#DIV/0!</v>
      </c>
      <c r="AB37" s="185" t="e">
        <f t="shared" si="18"/>
        <v>#DIV/0!</v>
      </c>
      <c r="AC37" s="185" t="e">
        <f t="shared" si="18"/>
        <v>#DIV/0!</v>
      </c>
      <c r="AD37" s="185" t="e">
        <f t="shared" si="18"/>
        <v>#DIV/0!</v>
      </c>
      <c r="AE37" s="185" t="e">
        <f t="shared" si="18"/>
        <v>#DIV/0!</v>
      </c>
      <c r="AF37" s="185" t="e">
        <f t="shared" si="18"/>
        <v>#DIV/0!</v>
      </c>
      <c r="AG37" s="185" t="e">
        <f t="shared" si="18"/>
        <v>#DIV/0!</v>
      </c>
      <c r="AH37" s="185" t="e">
        <f t="shared" si="18"/>
        <v>#DIV/0!</v>
      </c>
      <c r="AI37" s="185" t="e">
        <f t="shared" si="18"/>
        <v>#DIV/0!</v>
      </c>
      <c r="AJ37" s="185" t="e">
        <f t="shared" si="18"/>
        <v>#DIV/0!</v>
      </c>
    </row>
    <row r="39" spans="2:37" ht="30" thickBot="1" x14ac:dyDescent="0.85">
      <c r="B39" s="196" t="s">
        <v>139</v>
      </c>
      <c r="C39" s="196"/>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row>
    <row r="41" spans="2:37" x14ac:dyDescent="0.4">
      <c r="C41" s="142" t="str" cm="1">
        <f t="array" ref="C41:C43">assetnames</f>
        <v>Network upgrade name</v>
      </c>
      <c r="D41" s="142" t="s">
        <v>138</v>
      </c>
      <c r="E41" s="150" t="s">
        <v>140</v>
      </c>
      <c r="G41" s="149">
        <v>2500</v>
      </c>
      <c r="H41" s="149">
        <v>2500</v>
      </c>
      <c r="I41" s="149">
        <v>2500</v>
      </c>
      <c r="J41" s="149">
        <v>2500</v>
      </c>
      <c r="K41" s="149">
        <v>2500</v>
      </c>
      <c r="L41" s="149">
        <v>2500</v>
      </c>
      <c r="M41" s="149">
        <v>2500</v>
      </c>
      <c r="N41" s="149">
        <v>2500</v>
      </c>
      <c r="O41" s="149">
        <v>2500</v>
      </c>
      <c r="P41" s="149">
        <v>2500</v>
      </c>
      <c r="Q41" s="149">
        <v>2500</v>
      </c>
      <c r="R41" s="149">
        <v>2500</v>
      </c>
      <c r="S41" s="149">
        <v>2500</v>
      </c>
      <c r="T41" s="149">
        <v>2500</v>
      </c>
      <c r="U41" s="149">
        <v>2500</v>
      </c>
      <c r="V41" s="149">
        <v>2500</v>
      </c>
      <c r="W41" s="149">
        <v>2500</v>
      </c>
      <c r="X41" s="149">
        <v>2500</v>
      </c>
      <c r="Y41" s="149">
        <v>2500</v>
      </c>
      <c r="Z41" s="149">
        <v>2500</v>
      </c>
      <c r="AA41" s="149">
        <v>2500</v>
      </c>
      <c r="AB41" s="149">
        <v>2500</v>
      </c>
      <c r="AC41" s="149">
        <v>2500</v>
      </c>
      <c r="AD41" s="149">
        <v>2500</v>
      </c>
      <c r="AE41" s="149">
        <v>2500</v>
      </c>
      <c r="AF41" s="149">
        <v>2500</v>
      </c>
      <c r="AG41" s="149">
        <v>2500</v>
      </c>
      <c r="AH41" s="149">
        <v>2500</v>
      </c>
      <c r="AI41" s="149">
        <v>2500</v>
      </c>
      <c r="AJ41" s="149">
        <v>2500</v>
      </c>
    </row>
    <row r="42" spans="2:37" x14ac:dyDescent="0.4">
      <c r="C42" s="142" t="str">
        <v>Sewerage treatment plant upgrade name</v>
      </c>
      <c r="D42" s="142" t="s">
        <v>138</v>
      </c>
      <c r="G42" s="149">
        <v>2500</v>
      </c>
      <c r="H42" s="149">
        <v>2500</v>
      </c>
      <c r="I42" s="149">
        <v>2500</v>
      </c>
      <c r="J42" s="149">
        <v>2500</v>
      </c>
      <c r="K42" s="149">
        <v>2500</v>
      </c>
      <c r="L42" s="149">
        <v>2500</v>
      </c>
      <c r="M42" s="149">
        <v>2500</v>
      </c>
      <c r="N42" s="149">
        <v>2500</v>
      </c>
      <c r="O42" s="149">
        <v>2500</v>
      </c>
      <c r="P42" s="149">
        <v>2500</v>
      </c>
      <c r="Q42" s="149">
        <v>2500</v>
      </c>
      <c r="R42" s="149">
        <v>2500</v>
      </c>
      <c r="S42" s="149">
        <v>2500</v>
      </c>
      <c r="T42" s="149">
        <v>2500</v>
      </c>
      <c r="U42" s="149">
        <v>2500</v>
      </c>
      <c r="V42" s="149">
        <v>2500</v>
      </c>
      <c r="W42" s="149">
        <v>2500</v>
      </c>
      <c r="X42" s="149">
        <v>2500</v>
      </c>
      <c r="Y42" s="149">
        <v>2500</v>
      </c>
      <c r="Z42" s="149">
        <v>2500</v>
      </c>
      <c r="AA42" s="149">
        <v>2500</v>
      </c>
      <c r="AB42" s="149">
        <v>2500</v>
      </c>
      <c r="AC42" s="149">
        <v>2500</v>
      </c>
      <c r="AD42" s="149">
        <v>2500</v>
      </c>
      <c r="AE42" s="149">
        <v>2500</v>
      </c>
      <c r="AF42" s="149">
        <v>2500</v>
      </c>
      <c r="AG42" s="149">
        <v>2500</v>
      </c>
      <c r="AH42" s="149">
        <v>2500</v>
      </c>
      <c r="AI42" s="149">
        <v>2500</v>
      </c>
      <c r="AJ42" s="149">
        <v>2500</v>
      </c>
    </row>
    <row r="43" spans="2:37" x14ac:dyDescent="0.4">
      <c r="C43" s="142" t="str">
        <v>Discharge / ocean outfall upgrade name</v>
      </c>
      <c r="D43" s="142" t="s">
        <v>138</v>
      </c>
      <c r="E43" s="150" t="s">
        <v>141</v>
      </c>
      <c r="G43" s="148">
        <v>2500</v>
      </c>
      <c r="H43" s="148">
        <v>2500</v>
      </c>
      <c r="I43" s="148">
        <v>2500</v>
      </c>
      <c r="J43" s="148">
        <v>2500</v>
      </c>
      <c r="K43" s="148">
        <v>2500</v>
      </c>
      <c r="L43" s="148">
        <v>2500</v>
      </c>
      <c r="M43" s="148">
        <v>2500</v>
      </c>
      <c r="N43" s="148">
        <v>2500</v>
      </c>
      <c r="O43" s="148">
        <v>2500</v>
      </c>
      <c r="P43" s="148">
        <v>2500</v>
      </c>
      <c r="Q43" s="148">
        <v>2500</v>
      </c>
      <c r="R43" s="148">
        <v>2500</v>
      </c>
      <c r="S43" s="148">
        <v>2500</v>
      </c>
      <c r="T43" s="148">
        <v>2500</v>
      </c>
      <c r="U43" s="148">
        <v>2500</v>
      </c>
      <c r="V43" s="148">
        <v>2500</v>
      </c>
      <c r="W43" s="148">
        <v>2500</v>
      </c>
      <c r="X43" s="148">
        <v>2500</v>
      </c>
      <c r="Y43" s="148">
        <v>2500</v>
      </c>
      <c r="Z43" s="148">
        <v>2500</v>
      </c>
      <c r="AA43" s="148">
        <v>2500</v>
      </c>
      <c r="AB43" s="148">
        <v>2500</v>
      </c>
      <c r="AC43" s="148">
        <v>2500</v>
      </c>
      <c r="AD43" s="148">
        <v>2500</v>
      </c>
      <c r="AE43" s="148">
        <v>2500</v>
      </c>
      <c r="AF43" s="148">
        <v>2500</v>
      </c>
      <c r="AG43" s="148">
        <v>2500</v>
      </c>
      <c r="AH43" s="148">
        <v>2500</v>
      </c>
      <c r="AI43" s="148">
        <v>2500</v>
      </c>
      <c r="AJ43" s="148">
        <v>2500</v>
      </c>
    </row>
  </sheetData>
  <dataValidations count="1">
    <dataValidation type="list" allowBlank="1" showInputMessage="1" showErrorMessage="1" sqref="D4" xr:uid="{446D3D9C-D0D7-438C-AB38-D556610DE51F}">
      <formula1>LRMCnames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7007-42B1-48FC-B2E6-86C826C67983}">
  <sheetPr>
    <tabColor theme="4"/>
  </sheetPr>
  <dimension ref="A1:BH332"/>
  <sheetViews>
    <sheetView topLeftCell="N1" zoomScale="50" zoomScaleNormal="50" workbookViewId="0">
      <selection activeCell="AT271" sqref="AT271"/>
    </sheetView>
  </sheetViews>
  <sheetFormatPr defaultColWidth="8.84375" defaultRowHeight="18" x14ac:dyDescent="0.5"/>
  <cols>
    <col min="1" max="1" width="8.84375" style="21"/>
    <col min="2" max="2" width="5.07421875" style="21" customWidth="1"/>
    <col min="3" max="3" width="60.69140625" style="21" customWidth="1"/>
    <col min="4" max="4" width="8.765625" style="21" customWidth="1"/>
    <col min="5" max="5" width="5" style="21" customWidth="1"/>
    <col min="6" max="6" width="14.69140625" style="21" customWidth="1"/>
    <col min="7" max="7" width="4" style="21" customWidth="1"/>
    <col min="8" max="8" width="17.23046875" style="21" customWidth="1"/>
    <col min="9" max="9" width="16.84375" style="21" bestFit="1" customWidth="1"/>
    <col min="10" max="39" width="13.765625" style="21" customWidth="1"/>
    <col min="40" max="16384" width="8.84375" style="21"/>
  </cols>
  <sheetData>
    <row r="1" spans="1:60" ht="31.5" x14ac:dyDescent="0.5">
      <c r="A1" s="18"/>
      <c r="B1" s="133" t="s">
        <v>158</v>
      </c>
      <c r="C1" s="18"/>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212"/>
      <c r="AP1" s="212"/>
      <c r="AQ1" s="212"/>
      <c r="AR1" s="212"/>
      <c r="AS1" s="212"/>
      <c r="AT1" s="212"/>
      <c r="AU1" s="212"/>
      <c r="AV1" s="212"/>
      <c r="AW1" s="212"/>
      <c r="AX1" s="212"/>
      <c r="AY1" s="212"/>
      <c r="AZ1" s="212"/>
    </row>
    <row r="2" spans="1:60" ht="25.5" x14ac:dyDescent="0.5">
      <c r="A2" s="23"/>
      <c r="B2" s="23" t="s">
        <v>125</v>
      </c>
      <c r="C2" s="23"/>
      <c r="D2" s="22"/>
      <c r="E2" s="22"/>
      <c r="F2" s="22"/>
      <c r="G2" s="22"/>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row>
    <row r="3" spans="1:60" x14ac:dyDescent="0.5">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25"/>
      <c r="AN3" s="25"/>
      <c r="AO3" s="25"/>
      <c r="AP3" s="25"/>
      <c r="AQ3" s="25"/>
      <c r="AR3" s="25"/>
      <c r="AS3" s="25"/>
      <c r="AT3" s="25"/>
      <c r="AU3" s="25"/>
      <c r="AV3" s="25"/>
      <c r="AW3" s="25"/>
      <c r="AX3" s="25"/>
      <c r="AY3" s="25"/>
      <c r="AZ3" s="25"/>
    </row>
    <row r="4" spans="1:60" s="67" customFormat="1" x14ac:dyDescent="0.5">
      <c r="A4" s="25"/>
      <c r="B4" s="25"/>
      <c r="C4" s="92" t="s">
        <v>110</v>
      </c>
      <c r="D4" s="25"/>
      <c r="E4" s="25"/>
      <c r="F4" s="93"/>
      <c r="G4" s="37"/>
      <c r="H4" s="37"/>
      <c r="I4" s="25"/>
      <c r="J4" s="137">
        <v>1</v>
      </c>
      <c r="K4" s="137">
        <v>2</v>
      </c>
      <c r="L4" s="137">
        <v>3</v>
      </c>
      <c r="M4" s="137">
        <v>4</v>
      </c>
      <c r="N4" s="137">
        <v>5</v>
      </c>
      <c r="O4" s="137">
        <v>6</v>
      </c>
      <c r="P4" s="137">
        <v>7</v>
      </c>
      <c r="Q4" s="137">
        <v>8</v>
      </c>
      <c r="R4" s="137">
        <v>9</v>
      </c>
      <c r="S4" s="137">
        <v>10</v>
      </c>
      <c r="T4" s="137">
        <v>11</v>
      </c>
      <c r="U4" s="137">
        <v>12</v>
      </c>
      <c r="V4" s="137">
        <v>13</v>
      </c>
      <c r="W4" s="137">
        <v>14</v>
      </c>
      <c r="X4" s="137">
        <v>15</v>
      </c>
      <c r="Y4" s="137">
        <v>16</v>
      </c>
      <c r="Z4" s="137">
        <v>17</v>
      </c>
      <c r="AA4" s="137">
        <v>18</v>
      </c>
      <c r="AB4" s="137">
        <v>19</v>
      </c>
      <c r="AC4" s="137">
        <v>20</v>
      </c>
      <c r="AD4" s="137">
        <v>21</v>
      </c>
      <c r="AE4" s="137">
        <v>22</v>
      </c>
      <c r="AF4" s="137">
        <v>23</v>
      </c>
      <c r="AG4" s="137">
        <v>24</v>
      </c>
      <c r="AH4" s="137">
        <v>25</v>
      </c>
      <c r="AI4" s="137">
        <v>26</v>
      </c>
      <c r="AJ4" s="137">
        <v>27</v>
      </c>
      <c r="AK4" s="137">
        <v>28</v>
      </c>
      <c r="AL4" s="137">
        <v>29</v>
      </c>
      <c r="AM4" s="137">
        <v>30</v>
      </c>
      <c r="AN4" s="37"/>
      <c r="AO4" s="37"/>
      <c r="AP4" s="37"/>
      <c r="AQ4" s="37"/>
      <c r="AR4" s="37"/>
      <c r="AS4" s="37"/>
      <c r="AT4" s="37"/>
      <c r="AU4" s="37"/>
      <c r="AV4" s="37"/>
      <c r="AW4" s="37"/>
      <c r="AX4" s="37"/>
      <c r="AY4" s="37"/>
      <c r="AZ4" s="37"/>
    </row>
    <row r="5" spans="1:60" s="67" customFormat="1" x14ac:dyDescent="0.5">
      <c r="A5" s="25"/>
      <c r="B5" s="25"/>
      <c r="C5" s="50" t="s">
        <v>111</v>
      </c>
      <c r="D5" s="25"/>
      <c r="E5" s="25"/>
      <c r="F5" s="93"/>
      <c r="G5" s="37"/>
      <c r="H5" s="37"/>
      <c r="I5" s="25"/>
      <c r="J5" s="138">
        <f>DATE(J7-1,7,1)</f>
        <v>45474</v>
      </c>
      <c r="K5" s="139">
        <f>DATE(YEAR(J5)+1,MONTH(J5),DAY(J5))</f>
        <v>45839</v>
      </c>
      <c r="L5" s="139">
        <f t="shared" ref="L5:AA6" si="0">DATE(YEAR(K5)+1,MONTH(K5),DAY(K5))</f>
        <v>46204</v>
      </c>
      <c r="M5" s="139">
        <f t="shared" si="0"/>
        <v>46569</v>
      </c>
      <c r="N5" s="139">
        <f t="shared" si="0"/>
        <v>46935</v>
      </c>
      <c r="O5" s="139">
        <f t="shared" si="0"/>
        <v>47300</v>
      </c>
      <c r="P5" s="139">
        <f t="shared" si="0"/>
        <v>47665</v>
      </c>
      <c r="Q5" s="139">
        <f t="shared" si="0"/>
        <v>48030</v>
      </c>
      <c r="R5" s="139">
        <f t="shared" si="0"/>
        <v>48396</v>
      </c>
      <c r="S5" s="139">
        <f t="shared" si="0"/>
        <v>48761</v>
      </c>
      <c r="T5" s="139">
        <f t="shared" si="0"/>
        <v>49126</v>
      </c>
      <c r="U5" s="139">
        <f t="shared" si="0"/>
        <v>49491</v>
      </c>
      <c r="V5" s="139">
        <f t="shared" si="0"/>
        <v>49857</v>
      </c>
      <c r="W5" s="139">
        <f t="shared" si="0"/>
        <v>50222</v>
      </c>
      <c r="X5" s="139">
        <f t="shared" si="0"/>
        <v>50587</v>
      </c>
      <c r="Y5" s="139">
        <f t="shared" si="0"/>
        <v>50952</v>
      </c>
      <c r="Z5" s="139">
        <f t="shared" si="0"/>
        <v>51318</v>
      </c>
      <c r="AA5" s="139">
        <f t="shared" si="0"/>
        <v>51683</v>
      </c>
      <c r="AB5" s="139">
        <f t="shared" ref="AB5:AM6" si="1">DATE(YEAR(AA5)+1,MONTH(AA5),DAY(AA5))</f>
        <v>52048</v>
      </c>
      <c r="AC5" s="139">
        <f t="shared" si="1"/>
        <v>52413</v>
      </c>
      <c r="AD5" s="139">
        <f t="shared" si="1"/>
        <v>52779</v>
      </c>
      <c r="AE5" s="139">
        <f t="shared" si="1"/>
        <v>53144</v>
      </c>
      <c r="AF5" s="139">
        <f t="shared" si="1"/>
        <v>53509</v>
      </c>
      <c r="AG5" s="139">
        <f t="shared" si="1"/>
        <v>53874</v>
      </c>
      <c r="AH5" s="139">
        <f t="shared" si="1"/>
        <v>54240</v>
      </c>
      <c r="AI5" s="139">
        <f t="shared" si="1"/>
        <v>54605</v>
      </c>
      <c r="AJ5" s="139">
        <f t="shared" si="1"/>
        <v>54970</v>
      </c>
      <c r="AK5" s="139">
        <f t="shared" si="1"/>
        <v>55335</v>
      </c>
      <c r="AL5" s="139">
        <f t="shared" si="1"/>
        <v>55701</v>
      </c>
      <c r="AM5" s="139">
        <f t="shared" si="1"/>
        <v>56066</v>
      </c>
      <c r="AN5" s="37"/>
      <c r="AO5" s="37"/>
      <c r="AP5" s="37"/>
      <c r="AQ5" s="37"/>
      <c r="AR5" s="37"/>
      <c r="AS5" s="37"/>
      <c r="AT5" s="37"/>
      <c r="AU5" s="37"/>
      <c r="AV5" s="37"/>
      <c r="AW5" s="37"/>
      <c r="AX5" s="37"/>
      <c r="AY5" s="37"/>
      <c r="AZ5" s="37"/>
    </row>
    <row r="6" spans="1:60" s="67" customFormat="1" x14ac:dyDescent="0.5">
      <c r="A6" s="25"/>
      <c r="B6" s="25"/>
      <c r="C6" s="50" t="s">
        <v>112</v>
      </c>
      <c r="D6" s="25"/>
      <c r="E6" s="25"/>
      <c r="F6" s="93"/>
      <c r="G6" s="37"/>
      <c r="H6" s="37"/>
      <c r="I6" s="25"/>
      <c r="J6" s="138">
        <f>DATE(J7,6,30)</f>
        <v>45838</v>
      </c>
      <c r="K6" s="139">
        <f>DATE(YEAR(J6)+1,MONTH(J6),DAY(J6))</f>
        <v>46203</v>
      </c>
      <c r="L6" s="139">
        <f t="shared" si="0"/>
        <v>46568</v>
      </c>
      <c r="M6" s="139">
        <f t="shared" si="0"/>
        <v>46934</v>
      </c>
      <c r="N6" s="139">
        <f t="shared" si="0"/>
        <v>47299</v>
      </c>
      <c r="O6" s="139">
        <f t="shared" si="0"/>
        <v>47664</v>
      </c>
      <c r="P6" s="139">
        <f t="shared" si="0"/>
        <v>48029</v>
      </c>
      <c r="Q6" s="139">
        <f t="shared" si="0"/>
        <v>48395</v>
      </c>
      <c r="R6" s="139">
        <f t="shared" si="0"/>
        <v>48760</v>
      </c>
      <c r="S6" s="139">
        <f t="shared" si="0"/>
        <v>49125</v>
      </c>
      <c r="T6" s="139">
        <f t="shared" si="0"/>
        <v>49490</v>
      </c>
      <c r="U6" s="139">
        <f t="shared" si="0"/>
        <v>49856</v>
      </c>
      <c r="V6" s="139">
        <f t="shared" si="0"/>
        <v>50221</v>
      </c>
      <c r="W6" s="139">
        <f t="shared" si="0"/>
        <v>50586</v>
      </c>
      <c r="X6" s="139">
        <f t="shared" si="0"/>
        <v>50951</v>
      </c>
      <c r="Y6" s="139">
        <f t="shared" si="0"/>
        <v>51317</v>
      </c>
      <c r="Z6" s="139">
        <f t="shared" si="0"/>
        <v>51682</v>
      </c>
      <c r="AA6" s="139">
        <f t="shared" si="0"/>
        <v>52047</v>
      </c>
      <c r="AB6" s="139">
        <f t="shared" si="1"/>
        <v>52412</v>
      </c>
      <c r="AC6" s="139">
        <f t="shared" si="1"/>
        <v>52778</v>
      </c>
      <c r="AD6" s="139">
        <f t="shared" si="1"/>
        <v>53143</v>
      </c>
      <c r="AE6" s="139">
        <f t="shared" si="1"/>
        <v>53508</v>
      </c>
      <c r="AF6" s="139">
        <f t="shared" si="1"/>
        <v>53873</v>
      </c>
      <c r="AG6" s="139">
        <f t="shared" si="1"/>
        <v>54239</v>
      </c>
      <c r="AH6" s="139">
        <f t="shared" si="1"/>
        <v>54604</v>
      </c>
      <c r="AI6" s="139">
        <f t="shared" si="1"/>
        <v>54969</v>
      </c>
      <c r="AJ6" s="139">
        <f t="shared" si="1"/>
        <v>55334</v>
      </c>
      <c r="AK6" s="139">
        <f t="shared" si="1"/>
        <v>55700</v>
      </c>
      <c r="AL6" s="139">
        <f t="shared" si="1"/>
        <v>56065</v>
      </c>
      <c r="AM6" s="139">
        <f t="shared" si="1"/>
        <v>56430</v>
      </c>
      <c r="AN6" s="37"/>
      <c r="AO6" s="37"/>
      <c r="AP6" s="37"/>
      <c r="AQ6" s="37"/>
      <c r="AR6" s="37"/>
      <c r="AS6" s="37"/>
      <c r="AT6" s="37"/>
      <c r="AU6" s="37"/>
      <c r="AV6" s="37"/>
      <c r="AW6" s="37"/>
      <c r="AX6" s="37"/>
      <c r="AY6" s="37"/>
      <c r="AZ6" s="37"/>
    </row>
    <row r="7" spans="1:60" s="67" customFormat="1" x14ac:dyDescent="0.5">
      <c r="A7" s="25"/>
      <c r="B7" s="25"/>
      <c r="C7" s="50"/>
      <c r="D7" s="25"/>
      <c r="E7" s="25"/>
      <c r="F7" s="93"/>
      <c r="G7" s="37"/>
      <c r="H7" s="37"/>
      <c r="I7" s="25"/>
      <c r="J7" s="27">
        <f>ModelFYStart</f>
        <v>2025</v>
      </c>
      <c r="K7" s="27">
        <f>J7+1</f>
        <v>2026</v>
      </c>
      <c r="L7" s="27">
        <f t="shared" ref="L7:AM7" si="2">K7+1</f>
        <v>2027</v>
      </c>
      <c r="M7" s="27">
        <f t="shared" si="2"/>
        <v>2028</v>
      </c>
      <c r="N7" s="27">
        <f t="shared" si="2"/>
        <v>2029</v>
      </c>
      <c r="O7" s="27">
        <f t="shared" si="2"/>
        <v>2030</v>
      </c>
      <c r="P7" s="27">
        <f t="shared" si="2"/>
        <v>2031</v>
      </c>
      <c r="Q7" s="27">
        <f t="shared" si="2"/>
        <v>2032</v>
      </c>
      <c r="R7" s="27">
        <f t="shared" si="2"/>
        <v>2033</v>
      </c>
      <c r="S7" s="27">
        <f t="shared" si="2"/>
        <v>2034</v>
      </c>
      <c r="T7" s="27">
        <f t="shared" si="2"/>
        <v>2035</v>
      </c>
      <c r="U7" s="27">
        <f t="shared" si="2"/>
        <v>2036</v>
      </c>
      <c r="V7" s="27">
        <f t="shared" si="2"/>
        <v>2037</v>
      </c>
      <c r="W7" s="27">
        <f t="shared" si="2"/>
        <v>2038</v>
      </c>
      <c r="X7" s="27">
        <f t="shared" si="2"/>
        <v>2039</v>
      </c>
      <c r="Y7" s="27">
        <f t="shared" si="2"/>
        <v>2040</v>
      </c>
      <c r="Z7" s="27">
        <f t="shared" si="2"/>
        <v>2041</v>
      </c>
      <c r="AA7" s="27">
        <f t="shared" si="2"/>
        <v>2042</v>
      </c>
      <c r="AB7" s="27">
        <f t="shared" si="2"/>
        <v>2043</v>
      </c>
      <c r="AC7" s="27">
        <f t="shared" si="2"/>
        <v>2044</v>
      </c>
      <c r="AD7" s="27">
        <f t="shared" si="2"/>
        <v>2045</v>
      </c>
      <c r="AE7" s="27">
        <f t="shared" si="2"/>
        <v>2046</v>
      </c>
      <c r="AF7" s="27">
        <f t="shared" si="2"/>
        <v>2047</v>
      </c>
      <c r="AG7" s="27">
        <f t="shared" si="2"/>
        <v>2048</v>
      </c>
      <c r="AH7" s="27">
        <f t="shared" si="2"/>
        <v>2049</v>
      </c>
      <c r="AI7" s="27">
        <f t="shared" si="2"/>
        <v>2050</v>
      </c>
      <c r="AJ7" s="27">
        <f t="shared" si="2"/>
        <v>2051</v>
      </c>
      <c r="AK7" s="27">
        <f t="shared" si="2"/>
        <v>2052</v>
      </c>
      <c r="AL7" s="27">
        <f t="shared" si="2"/>
        <v>2053</v>
      </c>
      <c r="AM7" s="27">
        <f t="shared" si="2"/>
        <v>2054</v>
      </c>
      <c r="AN7" s="96"/>
      <c r="AO7" s="37"/>
      <c r="AP7" s="37"/>
      <c r="AQ7" s="37"/>
      <c r="AR7" s="37"/>
      <c r="AS7" s="37"/>
      <c r="AT7" s="37"/>
      <c r="AU7" s="37"/>
      <c r="AV7" s="37"/>
      <c r="AW7" s="37"/>
      <c r="AX7" s="37"/>
      <c r="AY7" s="37"/>
      <c r="AZ7" s="37"/>
    </row>
    <row r="8" spans="1:60" ht="35.5" thickBot="1" x14ac:dyDescent="1">
      <c r="A8" s="24"/>
      <c r="B8" s="198" t="s">
        <v>113</v>
      </c>
      <c r="C8" s="199"/>
      <c r="D8" s="199" t="s">
        <v>40</v>
      </c>
      <c r="E8" s="199"/>
      <c r="F8" s="199"/>
      <c r="G8" s="199"/>
      <c r="H8" s="199" t="s">
        <v>26</v>
      </c>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1"/>
      <c r="AL8" s="201"/>
      <c r="AM8" s="201"/>
      <c r="AN8" s="201"/>
      <c r="AO8" s="209"/>
      <c r="AP8" s="210"/>
      <c r="AQ8" s="210"/>
      <c r="AR8" s="210"/>
      <c r="AS8" s="210"/>
      <c r="AT8" s="210"/>
      <c r="AU8" s="210"/>
      <c r="AV8" s="210"/>
      <c r="AW8" s="210"/>
      <c r="AX8" s="210"/>
      <c r="AY8" s="210"/>
      <c r="AZ8" s="210"/>
    </row>
    <row r="9" spans="1:60" ht="31.5" x14ac:dyDescent="0.85">
      <c r="A9" s="25"/>
      <c r="B9" s="94"/>
      <c r="C9" s="94"/>
      <c r="D9" s="94"/>
      <c r="E9" s="94"/>
      <c r="F9" s="95"/>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row>
    <row r="10" spans="1:60" ht="32" thickBot="1" x14ac:dyDescent="0.9">
      <c r="A10" s="25"/>
      <c r="B10" s="94"/>
      <c r="C10" s="94"/>
      <c r="D10" s="94"/>
      <c r="E10" s="94"/>
      <c r="F10" s="95"/>
      <c r="G10" s="94"/>
      <c r="H10" s="203" t="s">
        <v>37</v>
      </c>
      <c r="I10" s="203" t="s">
        <v>38</v>
      </c>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row>
    <row r="11" spans="1:60" ht="25.5" x14ac:dyDescent="0.7">
      <c r="A11" s="25"/>
      <c r="B11" s="25"/>
      <c r="C11" s="140" t="str" cm="1">
        <f t="array" ref="C11:C13">assetnames</f>
        <v>Network upgrade name</v>
      </c>
      <c r="D11" s="113" t="s">
        <v>114</v>
      </c>
      <c r="E11" s="25"/>
      <c r="F11" s="25"/>
      <c r="G11" s="25"/>
      <c r="H11" s="202" t="e">
        <f>H18</f>
        <v>#DIV/0!</v>
      </c>
      <c r="I11" s="202" t="e">
        <f>I18</f>
        <v>#DIV/0!</v>
      </c>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row>
    <row r="12" spans="1:60" ht="25.5" x14ac:dyDescent="0.7">
      <c r="A12" s="25"/>
      <c r="B12" s="25"/>
      <c r="C12" s="116" t="str">
        <v>Sewerage treatment plant upgrade name</v>
      </c>
      <c r="D12" s="113" t="s">
        <v>114</v>
      </c>
      <c r="E12" s="25"/>
      <c r="F12" s="25"/>
      <c r="G12" s="25"/>
      <c r="H12" s="119" t="e">
        <f>H124</f>
        <v>#DIV/0!</v>
      </c>
      <c r="I12" s="119" t="e">
        <f>I124</f>
        <v>#DIV/0!</v>
      </c>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row>
    <row r="13" spans="1:60" ht="25.5" x14ac:dyDescent="0.7">
      <c r="A13" s="25"/>
      <c r="B13" s="25"/>
      <c r="C13" s="116" t="str">
        <v>Discharge / ocean outfall upgrade name</v>
      </c>
      <c r="D13" s="113" t="s">
        <v>114</v>
      </c>
      <c r="E13" s="25"/>
      <c r="F13" s="25"/>
      <c r="G13" s="25"/>
      <c r="H13" s="119" t="e">
        <f>H229</f>
        <v>#DIV/0!</v>
      </c>
      <c r="I13" s="119" t="e">
        <f>I229</f>
        <v>#DIV/0!</v>
      </c>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row>
    <row r="14" spans="1:60" x14ac:dyDescent="0.5">
      <c r="A14" s="25"/>
      <c r="B14" s="25"/>
      <c r="C14" s="25"/>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row>
    <row r="15" spans="1:60" s="67" customFormat="1" ht="35.5" thickBot="1" x14ac:dyDescent="1">
      <c r="A15" s="37"/>
      <c r="B15" s="141" t="str">
        <f>asset1name</f>
        <v>Network upgrade name</v>
      </c>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211"/>
      <c r="AN15" s="215"/>
      <c r="AO15" s="37"/>
      <c r="AP15" s="25"/>
      <c r="AQ15" s="25"/>
      <c r="AR15" s="37"/>
      <c r="AS15" s="37"/>
      <c r="AT15" s="37"/>
      <c r="AU15" s="37"/>
      <c r="AV15" s="37"/>
      <c r="AW15" s="37"/>
      <c r="AX15" s="37"/>
      <c r="AY15" s="37"/>
      <c r="AZ15" s="37"/>
    </row>
    <row r="16" spans="1:60" s="67" customFormat="1" ht="22.5" customHeight="1" x14ac:dyDescent="0.95">
      <c r="A16" s="37"/>
      <c r="B16" s="117"/>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37"/>
      <c r="AN16" s="37"/>
      <c r="AO16" s="37"/>
      <c r="AP16" s="25"/>
      <c r="AQ16" s="25"/>
      <c r="AR16" s="37"/>
      <c r="AS16" s="37"/>
      <c r="AT16" s="37"/>
      <c r="AU16" s="37"/>
      <c r="AV16" s="37"/>
      <c r="AW16" s="37"/>
      <c r="AX16" s="37"/>
      <c r="AY16" s="37"/>
      <c r="AZ16" s="37"/>
    </row>
    <row r="17" spans="1:60" ht="32" thickBot="1" x14ac:dyDescent="0.9">
      <c r="A17" s="25"/>
      <c r="B17" s="25"/>
      <c r="C17" s="25"/>
      <c r="D17" s="25"/>
      <c r="E17" s="25"/>
      <c r="F17" s="25"/>
      <c r="G17" s="25"/>
      <c r="H17" s="203" t="s">
        <v>37</v>
      </c>
      <c r="I17" s="203" t="s">
        <v>38</v>
      </c>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row>
    <row r="18" spans="1:60" ht="31.5" x14ac:dyDescent="0.85">
      <c r="A18" s="25"/>
      <c r="B18" s="94"/>
      <c r="C18" s="140" t="str">
        <f>B15</f>
        <v>Network upgrade name</v>
      </c>
      <c r="D18" s="113" t="s">
        <v>114</v>
      </c>
      <c r="E18" s="114"/>
      <c r="F18" s="115"/>
      <c r="G18" s="114"/>
      <c r="H18" s="204" t="e">
        <f>H24</f>
        <v>#DIV/0!</v>
      </c>
      <c r="I18" s="204" t="e">
        <f>H75</f>
        <v>#DIV/0!</v>
      </c>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row>
    <row r="19" spans="1:60" x14ac:dyDescent="0.5">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row>
    <row r="20" spans="1:60" ht="33" customHeight="1" thickBot="1" x14ac:dyDescent="1">
      <c r="A20" s="24"/>
      <c r="B20" s="25"/>
      <c r="C20" s="205" t="s">
        <v>37</v>
      </c>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200"/>
      <c r="AK20" s="200"/>
      <c r="AL20" s="200"/>
      <c r="AM20" s="200"/>
      <c r="AN20" s="215"/>
      <c r="AO20" s="213"/>
      <c r="AP20" s="214"/>
      <c r="AQ20" s="214"/>
      <c r="AR20" s="214"/>
      <c r="AS20" s="214"/>
      <c r="AT20" s="214"/>
      <c r="AU20" s="214"/>
      <c r="AV20" s="214"/>
      <c r="AW20" s="214"/>
      <c r="AX20" s="214"/>
      <c r="AY20" s="214"/>
      <c r="AZ20" s="214"/>
    </row>
    <row r="21" spans="1:60" ht="31.5" x14ac:dyDescent="0.85">
      <c r="A21" s="25"/>
      <c r="B21" s="94"/>
      <c r="C21" s="94"/>
      <c r="D21" s="94"/>
      <c r="E21" s="94"/>
      <c r="F21" s="95"/>
      <c r="G21" s="94"/>
      <c r="H21" s="94"/>
      <c r="I21" s="94"/>
      <c r="J21" s="94"/>
      <c r="K21" s="94"/>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row>
    <row r="22" spans="1:60" x14ac:dyDescent="0.5">
      <c r="A22" s="25"/>
      <c r="B22" s="25"/>
      <c r="C22" s="102" t="s">
        <v>28</v>
      </c>
      <c r="D22" s="25"/>
      <c r="E22" s="25"/>
      <c r="F22" s="25"/>
      <c r="G22" s="25"/>
      <c r="H22" s="104">
        <f>(H63-H40)</f>
        <v>0</v>
      </c>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row>
    <row r="23" spans="1:60" x14ac:dyDescent="0.5">
      <c r="A23" s="25"/>
      <c r="B23" s="25"/>
      <c r="C23" s="102" t="s">
        <v>29</v>
      </c>
      <c r="D23" s="25"/>
      <c r="E23" s="25"/>
      <c r="F23" s="25"/>
      <c r="G23" s="25"/>
      <c r="H23" s="104">
        <f>(H59-H36)*1000000</f>
        <v>0</v>
      </c>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row>
    <row r="24" spans="1:60" x14ac:dyDescent="0.5">
      <c r="A24" s="25"/>
      <c r="B24" s="25"/>
      <c r="C24" s="103" t="s">
        <v>27</v>
      </c>
      <c r="D24" s="103" t="s">
        <v>114</v>
      </c>
      <c r="E24" s="26"/>
      <c r="F24" s="25"/>
      <c r="G24" s="25"/>
      <c r="H24" s="105" t="e">
        <f>H22/H23</f>
        <v>#DIV/0!</v>
      </c>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row>
    <row r="25" spans="1:60" x14ac:dyDescent="0.5">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row>
    <row r="26" spans="1:60" ht="19.5" x14ac:dyDescent="0.55000000000000004">
      <c r="A26" s="25"/>
      <c r="C26" s="97" t="s">
        <v>94</v>
      </c>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row>
    <row r="27" spans="1:60" x14ac:dyDescent="0.5">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row>
    <row r="28" spans="1:60" x14ac:dyDescent="0.5">
      <c r="A28" s="25"/>
      <c r="B28" s="25"/>
      <c r="C28" s="98" t="s">
        <v>21</v>
      </c>
      <c r="D28" s="99"/>
      <c r="E28" s="99"/>
      <c r="F28" s="25"/>
      <c r="G28" s="25"/>
      <c r="H28" s="99"/>
      <c r="I28" s="25"/>
      <c r="J28" s="99"/>
      <c r="K28" s="99"/>
      <c r="L28" s="99"/>
      <c r="M28" s="99"/>
      <c r="N28" s="99"/>
      <c r="O28" s="99"/>
      <c r="P28" s="99"/>
      <c r="Q28" s="99"/>
      <c r="R28" s="99"/>
      <c r="S28" s="99"/>
      <c r="T28" s="99"/>
      <c r="U28" s="99"/>
      <c r="V28" s="99"/>
      <c r="W28" s="99"/>
      <c r="X28" s="99"/>
      <c r="Y28" s="99"/>
      <c r="Z28" s="99"/>
      <c r="AA28" s="99"/>
      <c r="AB28" s="99"/>
      <c r="AC28" s="99"/>
      <c r="AD28" s="99"/>
      <c r="AE28" s="99"/>
      <c r="AF28" s="25"/>
      <c r="AG28" s="25"/>
      <c r="AH28" s="25"/>
      <c r="AI28" s="25"/>
      <c r="AJ28" s="25"/>
      <c r="AK28" s="25"/>
      <c r="AL28" s="25"/>
      <c r="AM28" s="25"/>
      <c r="AN28" s="25"/>
      <c r="AO28" s="25"/>
      <c r="AP28" s="25"/>
      <c r="AQ28" s="25"/>
      <c r="AR28" s="25"/>
      <c r="AS28" s="25"/>
      <c r="AT28" s="25"/>
      <c r="AU28" s="25"/>
      <c r="AV28" s="25"/>
      <c r="AW28" s="25"/>
      <c r="AX28" s="25"/>
      <c r="AY28" s="25"/>
      <c r="AZ28" s="25"/>
    </row>
    <row r="29" spans="1:60" x14ac:dyDescent="0.5">
      <c r="A29" s="25"/>
      <c r="B29" s="25"/>
      <c r="C29" s="98" t="s">
        <v>18</v>
      </c>
      <c r="D29" s="98"/>
      <c r="E29" s="98"/>
      <c r="F29" s="25"/>
      <c r="G29" s="25"/>
      <c r="H29" s="99"/>
      <c r="I29" s="25"/>
      <c r="J29" s="107">
        <f t="shared" ref="J29:AM29" si="3">IF(J36&lt;INDEX(tippingpoints,MATCH($B15,tippingpointnames,0),1),0,1)</f>
        <v>1</v>
      </c>
      <c r="K29" s="107">
        <f t="shared" si="3"/>
        <v>1</v>
      </c>
      <c r="L29" s="107">
        <f t="shared" si="3"/>
        <v>1</v>
      </c>
      <c r="M29" s="107">
        <f t="shared" si="3"/>
        <v>1</v>
      </c>
      <c r="N29" s="107">
        <f t="shared" si="3"/>
        <v>1</v>
      </c>
      <c r="O29" s="107">
        <f t="shared" si="3"/>
        <v>1</v>
      </c>
      <c r="P29" s="107">
        <f t="shared" si="3"/>
        <v>1</v>
      </c>
      <c r="Q29" s="107">
        <f t="shared" si="3"/>
        <v>1</v>
      </c>
      <c r="R29" s="107">
        <f t="shared" si="3"/>
        <v>1</v>
      </c>
      <c r="S29" s="107">
        <f t="shared" si="3"/>
        <v>1</v>
      </c>
      <c r="T29" s="107">
        <f t="shared" si="3"/>
        <v>1</v>
      </c>
      <c r="U29" s="107">
        <f t="shared" si="3"/>
        <v>1</v>
      </c>
      <c r="V29" s="107">
        <f t="shared" si="3"/>
        <v>1</v>
      </c>
      <c r="W29" s="107">
        <f t="shared" si="3"/>
        <v>1</v>
      </c>
      <c r="X29" s="107">
        <f t="shared" si="3"/>
        <v>1</v>
      </c>
      <c r="Y29" s="107">
        <f t="shared" si="3"/>
        <v>1</v>
      </c>
      <c r="Z29" s="107">
        <f t="shared" si="3"/>
        <v>1</v>
      </c>
      <c r="AA29" s="107">
        <f t="shared" si="3"/>
        <v>1</v>
      </c>
      <c r="AB29" s="107">
        <f t="shared" si="3"/>
        <v>1</v>
      </c>
      <c r="AC29" s="107">
        <f t="shared" si="3"/>
        <v>1</v>
      </c>
      <c r="AD29" s="107">
        <f t="shared" si="3"/>
        <v>1</v>
      </c>
      <c r="AE29" s="107">
        <f t="shared" si="3"/>
        <v>1</v>
      </c>
      <c r="AF29" s="107">
        <f t="shared" si="3"/>
        <v>1</v>
      </c>
      <c r="AG29" s="107">
        <f t="shared" si="3"/>
        <v>1</v>
      </c>
      <c r="AH29" s="107">
        <f t="shared" si="3"/>
        <v>1</v>
      </c>
      <c r="AI29" s="107">
        <f t="shared" si="3"/>
        <v>1</v>
      </c>
      <c r="AJ29" s="107">
        <f t="shared" si="3"/>
        <v>1</v>
      </c>
      <c r="AK29" s="107">
        <f t="shared" si="3"/>
        <v>1</v>
      </c>
      <c r="AL29" s="107">
        <f t="shared" si="3"/>
        <v>1</v>
      </c>
      <c r="AM29" s="107">
        <f t="shared" si="3"/>
        <v>1</v>
      </c>
      <c r="AN29" s="25"/>
      <c r="AO29" s="25"/>
      <c r="AP29" s="25"/>
      <c r="AQ29" s="25"/>
      <c r="AR29" s="25"/>
      <c r="AS29" s="25"/>
      <c r="AT29" s="25"/>
      <c r="AU29" s="25"/>
      <c r="AV29" s="25"/>
      <c r="AW29" s="25"/>
      <c r="AX29" s="25"/>
      <c r="AY29" s="25"/>
      <c r="AZ29" s="25"/>
    </row>
    <row r="30" spans="1:60" x14ac:dyDescent="0.5">
      <c r="A30" s="25"/>
      <c r="B30" s="25"/>
      <c r="C30" s="98" t="s">
        <v>19</v>
      </c>
      <c r="D30" s="98"/>
      <c r="E30" s="98"/>
      <c r="F30" s="25"/>
      <c r="G30" s="25"/>
      <c r="H30" s="99"/>
      <c r="I30" s="25"/>
      <c r="J30" s="109">
        <f>IF(SUM($J29:J29)=0,0,1)</f>
        <v>1</v>
      </c>
      <c r="K30" s="109">
        <f>IF(SUM($J29:K29)=0,0,1)</f>
        <v>1</v>
      </c>
      <c r="L30" s="109">
        <f>IF(SUM($J29:L29)=0,0,1)</f>
        <v>1</v>
      </c>
      <c r="M30" s="109">
        <f>IF(SUM($J29:M29)=0,0,1)</f>
        <v>1</v>
      </c>
      <c r="N30" s="109">
        <f>IF(SUM($J29:N29)=0,0,1)</f>
        <v>1</v>
      </c>
      <c r="O30" s="109">
        <f>IF(SUM($J29:O29)=0,0,1)</f>
        <v>1</v>
      </c>
      <c r="P30" s="109">
        <f>IF(SUM($J29:P29)=0,0,1)</f>
        <v>1</v>
      </c>
      <c r="Q30" s="109">
        <f>IF(SUM($J29:Q29)=0,0,1)</f>
        <v>1</v>
      </c>
      <c r="R30" s="109">
        <f>IF(SUM($J29:R29)=0,0,1)</f>
        <v>1</v>
      </c>
      <c r="S30" s="109">
        <f>IF(SUM($J29:S29)=0,0,1)</f>
        <v>1</v>
      </c>
      <c r="T30" s="109">
        <f>IF(SUM($J29:T29)=0,0,1)</f>
        <v>1</v>
      </c>
      <c r="U30" s="109">
        <f>IF(SUM($J29:U29)=0,0,1)</f>
        <v>1</v>
      </c>
      <c r="V30" s="109">
        <f>IF(SUM($J29:V29)=0,0,1)</f>
        <v>1</v>
      </c>
      <c r="W30" s="109">
        <f>IF(SUM($J29:W29)=0,0,1)</f>
        <v>1</v>
      </c>
      <c r="X30" s="109">
        <f>IF(SUM($J29:X29)=0,0,1)</f>
        <v>1</v>
      </c>
      <c r="Y30" s="109">
        <f>IF(SUM($J29:Y29)=0,0,1)</f>
        <v>1</v>
      </c>
      <c r="Z30" s="109">
        <f>IF(SUM($J29:Z29)=0,0,1)</f>
        <v>1</v>
      </c>
      <c r="AA30" s="109">
        <f>IF(SUM($J29:AA29)=0,0,1)</f>
        <v>1</v>
      </c>
      <c r="AB30" s="109">
        <f>IF(SUM($J29:AB29)=0,0,1)</f>
        <v>1</v>
      </c>
      <c r="AC30" s="109">
        <f>IF(SUM($J29:AC29)=0,0,1)</f>
        <v>1</v>
      </c>
      <c r="AD30" s="109">
        <f>IF(SUM($J29:AD29)=0,0,1)</f>
        <v>1</v>
      </c>
      <c r="AE30" s="109">
        <f>IF(SUM($J29:AE29)=0,0,1)</f>
        <v>1</v>
      </c>
      <c r="AF30" s="109">
        <f>IF(SUM($J29:AF29)=0,0,1)</f>
        <v>1</v>
      </c>
      <c r="AG30" s="109">
        <f>IF(SUM($J29:AG29)=0,0,1)</f>
        <v>1</v>
      </c>
      <c r="AH30" s="109">
        <f>IF(SUM($J29:AH29)=0,0,1)</f>
        <v>1</v>
      </c>
      <c r="AI30" s="109">
        <f>IF(SUM($J29:AI29)=0,0,1)</f>
        <v>1</v>
      </c>
      <c r="AJ30" s="109">
        <f>IF(SUM($J29:AJ29)=0,0,1)</f>
        <v>1</v>
      </c>
      <c r="AK30" s="109">
        <f>IF(SUM($J29:AK29)=0,0,1)</f>
        <v>1</v>
      </c>
      <c r="AL30" s="109">
        <f>IF(SUM($J29:AL29)=0,0,1)</f>
        <v>1</v>
      </c>
      <c r="AM30" s="109">
        <f>IF(SUM($J29:AM29)=0,0,1)</f>
        <v>1</v>
      </c>
      <c r="AN30" s="25"/>
      <c r="AO30" s="25"/>
      <c r="AP30" s="25"/>
      <c r="AQ30" s="25"/>
      <c r="AR30" s="25"/>
      <c r="AS30" s="25"/>
      <c r="AT30" s="25"/>
      <c r="AU30" s="25"/>
      <c r="AV30" s="25"/>
      <c r="AW30" s="25"/>
      <c r="AX30" s="25"/>
      <c r="AY30" s="25"/>
      <c r="AZ30" s="25"/>
    </row>
    <row r="31" spans="1:60" x14ac:dyDescent="0.5">
      <c r="A31" s="25"/>
      <c r="B31" s="25"/>
      <c r="C31" s="98" t="s">
        <v>20</v>
      </c>
      <c r="D31" s="98"/>
      <c r="E31" s="98"/>
      <c r="F31" s="25"/>
      <c r="G31" s="25"/>
      <c r="H31" s="99"/>
      <c r="I31" s="25"/>
      <c r="J31" s="109">
        <f>IF($AM30=0,0,IF(AND(J30=0,J29=0),K31-1,0))</f>
        <v>0</v>
      </c>
      <c r="K31" s="109">
        <f t="shared" ref="K31:AM31" si="4">IF($AM30=0,0,IF(AND(K30=0,K29=0),L31-1,0))</f>
        <v>0</v>
      </c>
      <c r="L31" s="109">
        <f t="shared" si="4"/>
        <v>0</v>
      </c>
      <c r="M31" s="109">
        <f t="shared" si="4"/>
        <v>0</v>
      </c>
      <c r="N31" s="109">
        <f t="shared" si="4"/>
        <v>0</v>
      </c>
      <c r="O31" s="109">
        <f t="shared" si="4"/>
        <v>0</v>
      </c>
      <c r="P31" s="109">
        <f t="shared" si="4"/>
        <v>0</v>
      </c>
      <c r="Q31" s="109">
        <f t="shared" si="4"/>
        <v>0</v>
      </c>
      <c r="R31" s="109">
        <f t="shared" si="4"/>
        <v>0</v>
      </c>
      <c r="S31" s="109">
        <f t="shared" si="4"/>
        <v>0</v>
      </c>
      <c r="T31" s="109">
        <f t="shared" si="4"/>
        <v>0</v>
      </c>
      <c r="U31" s="109">
        <f t="shared" si="4"/>
        <v>0</v>
      </c>
      <c r="V31" s="109">
        <f t="shared" si="4"/>
        <v>0</v>
      </c>
      <c r="W31" s="109">
        <f t="shared" si="4"/>
        <v>0</v>
      </c>
      <c r="X31" s="109">
        <f t="shared" si="4"/>
        <v>0</v>
      </c>
      <c r="Y31" s="109">
        <f t="shared" si="4"/>
        <v>0</v>
      </c>
      <c r="Z31" s="109">
        <f t="shared" si="4"/>
        <v>0</v>
      </c>
      <c r="AA31" s="109">
        <f t="shared" si="4"/>
        <v>0</v>
      </c>
      <c r="AB31" s="109">
        <f t="shared" si="4"/>
        <v>0</v>
      </c>
      <c r="AC31" s="109">
        <f t="shared" si="4"/>
        <v>0</v>
      </c>
      <c r="AD31" s="109">
        <f t="shared" si="4"/>
        <v>0</v>
      </c>
      <c r="AE31" s="109">
        <f t="shared" si="4"/>
        <v>0</v>
      </c>
      <c r="AF31" s="109">
        <f t="shared" si="4"/>
        <v>0</v>
      </c>
      <c r="AG31" s="109">
        <f t="shared" si="4"/>
        <v>0</v>
      </c>
      <c r="AH31" s="109">
        <f t="shared" si="4"/>
        <v>0</v>
      </c>
      <c r="AI31" s="109">
        <f t="shared" si="4"/>
        <v>0</v>
      </c>
      <c r="AJ31" s="109">
        <f t="shared" si="4"/>
        <v>0</v>
      </c>
      <c r="AK31" s="109">
        <f t="shared" si="4"/>
        <v>0</v>
      </c>
      <c r="AL31" s="109">
        <f t="shared" si="4"/>
        <v>0</v>
      </c>
      <c r="AM31" s="109">
        <f t="shared" si="4"/>
        <v>0</v>
      </c>
      <c r="AN31" s="25"/>
      <c r="AO31" s="25"/>
      <c r="AP31" s="25"/>
      <c r="AQ31" s="25"/>
      <c r="AR31" s="25"/>
      <c r="AS31" s="25"/>
      <c r="AT31" s="25"/>
      <c r="AU31" s="25"/>
      <c r="AV31" s="25"/>
      <c r="AW31" s="25"/>
      <c r="AX31" s="25"/>
      <c r="AY31" s="25"/>
      <c r="AZ31" s="25"/>
    </row>
    <row r="32" spans="1:60" x14ac:dyDescent="0.5">
      <c r="A32" s="25"/>
      <c r="B32" s="25"/>
      <c r="C32" s="98" t="s">
        <v>118</v>
      </c>
      <c r="D32" s="98"/>
      <c r="E32" s="98"/>
      <c r="F32" s="108"/>
      <c r="G32" s="98"/>
      <c r="H32" s="99"/>
      <c r="I32" s="99"/>
      <c r="J32" s="109">
        <f t="shared" ref="J32:AM32" si="5">IF(ABS(J31)=INDEX(leadtimes,MATCH($B15,assetnames,0),1),1,0)</f>
        <v>1</v>
      </c>
      <c r="K32" s="109">
        <f t="shared" si="5"/>
        <v>1</v>
      </c>
      <c r="L32" s="109">
        <f t="shared" si="5"/>
        <v>1</v>
      </c>
      <c r="M32" s="109">
        <f t="shared" si="5"/>
        <v>1</v>
      </c>
      <c r="N32" s="109">
        <f t="shared" si="5"/>
        <v>1</v>
      </c>
      <c r="O32" s="109">
        <f t="shared" si="5"/>
        <v>1</v>
      </c>
      <c r="P32" s="109">
        <f t="shared" si="5"/>
        <v>1</v>
      </c>
      <c r="Q32" s="109">
        <f t="shared" si="5"/>
        <v>1</v>
      </c>
      <c r="R32" s="109">
        <f t="shared" si="5"/>
        <v>1</v>
      </c>
      <c r="S32" s="109">
        <f t="shared" si="5"/>
        <v>1</v>
      </c>
      <c r="T32" s="109">
        <f t="shared" si="5"/>
        <v>1</v>
      </c>
      <c r="U32" s="109">
        <f t="shared" si="5"/>
        <v>1</v>
      </c>
      <c r="V32" s="109">
        <f t="shared" si="5"/>
        <v>1</v>
      </c>
      <c r="W32" s="109">
        <f t="shared" si="5"/>
        <v>1</v>
      </c>
      <c r="X32" s="109">
        <f t="shared" si="5"/>
        <v>1</v>
      </c>
      <c r="Y32" s="109">
        <f t="shared" si="5"/>
        <v>1</v>
      </c>
      <c r="Z32" s="109">
        <f t="shared" si="5"/>
        <v>1</v>
      </c>
      <c r="AA32" s="109">
        <f t="shared" si="5"/>
        <v>1</v>
      </c>
      <c r="AB32" s="109">
        <f t="shared" si="5"/>
        <v>1</v>
      </c>
      <c r="AC32" s="109">
        <f t="shared" si="5"/>
        <v>1</v>
      </c>
      <c r="AD32" s="109">
        <f t="shared" si="5"/>
        <v>1</v>
      </c>
      <c r="AE32" s="109">
        <f t="shared" si="5"/>
        <v>1</v>
      </c>
      <c r="AF32" s="109">
        <f t="shared" si="5"/>
        <v>1</v>
      </c>
      <c r="AG32" s="109">
        <f t="shared" si="5"/>
        <v>1</v>
      </c>
      <c r="AH32" s="109">
        <f t="shared" si="5"/>
        <v>1</v>
      </c>
      <c r="AI32" s="109">
        <f t="shared" si="5"/>
        <v>1</v>
      </c>
      <c r="AJ32" s="109">
        <f t="shared" si="5"/>
        <v>1</v>
      </c>
      <c r="AK32" s="109">
        <f t="shared" si="5"/>
        <v>1</v>
      </c>
      <c r="AL32" s="109">
        <f t="shared" si="5"/>
        <v>1</v>
      </c>
      <c r="AM32" s="109">
        <f t="shared" si="5"/>
        <v>1</v>
      </c>
      <c r="AN32" s="109"/>
      <c r="AO32" s="109"/>
      <c r="AP32" s="109"/>
      <c r="AQ32" s="109"/>
      <c r="AR32" s="109"/>
      <c r="AS32" s="109"/>
      <c r="AT32" s="109"/>
      <c r="AU32" s="109"/>
      <c r="AV32" s="109"/>
      <c r="AW32" s="109"/>
      <c r="AX32" s="109"/>
      <c r="AY32" s="109"/>
      <c r="AZ32" s="109"/>
      <c r="BA32" s="109"/>
      <c r="BB32" s="109"/>
      <c r="BC32" s="109"/>
      <c r="BD32" s="109"/>
      <c r="BE32" s="100"/>
      <c r="BF32" s="100"/>
      <c r="BG32" s="100"/>
      <c r="BH32" s="100"/>
    </row>
    <row r="33" spans="1:60" x14ac:dyDescent="0.5">
      <c r="A33" s="25"/>
      <c r="B33" s="25"/>
      <c r="C33" s="98" t="s">
        <v>119</v>
      </c>
      <c r="D33" s="98"/>
      <c r="E33" s="98"/>
      <c r="F33" s="108"/>
      <c r="G33" s="98"/>
      <c r="H33" s="99"/>
      <c r="I33" s="99"/>
      <c r="J33" s="109">
        <f>IF(SUM($J32:J32)=1,1,0)+I33</f>
        <v>1</v>
      </c>
      <c r="K33" s="109">
        <f>IF(SUM($J32:K32)=1,1,0)+J33</f>
        <v>1</v>
      </c>
      <c r="L33" s="109">
        <f>IF(SUM($J32:L32)=1,1,0)+K33</f>
        <v>1</v>
      </c>
      <c r="M33" s="109">
        <f>IF(SUM($J32:M32)=1,1,0)+L33</f>
        <v>1</v>
      </c>
      <c r="N33" s="109">
        <f>IF(SUM($J32:N32)=1,1,0)+M33</f>
        <v>1</v>
      </c>
      <c r="O33" s="109">
        <f>IF(SUM($J32:O32)=1,1,0)+N33</f>
        <v>1</v>
      </c>
      <c r="P33" s="109">
        <f>IF(SUM($J32:P32)=1,1,0)+O33</f>
        <v>1</v>
      </c>
      <c r="Q33" s="109">
        <f>IF(SUM($J32:Q32)=1,1,0)+P33</f>
        <v>1</v>
      </c>
      <c r="R33" s="109">
        <f>IF(SUM($J32:R32)=1,1,0)+Q33</f>
        <v>1</v>
      </c>
      <c r="S33" s="109">
        <f>IF(SUM($J32:S32)=1,1,0)+R33</f>
        <v>1</v>
      </c>
      <c r="T33" s="109">
        <f>IF(SUM($J32:T32)=1,1,0)+S33</f>
        <v>1</v>
      </c>
      <c r="U33" s="109">
        <f>IF(SUM($J32:U32)=1,1,0)+T33</f>
        <v>1</v>
      </c>
      <c r="V33" s="109">
        <f>IF(SUM($J32:V32)=1,1,0)+U33</f>
        <v>1</v>
      </c>
      <c r="W33" s="109">
        <f>IF(SUM($J32:W32)=1,1,0)+V33</f>
        <v>1</v>
      </c>
      <c r="X33" s="109">
        <f>IF(SUM($J32:X32)=1,1,0)+W33</f>
        <v>1</v>
      </c>
      <c r="Y33" s="109">
        <f>IF(SUM($J32:Y32)=1,1,0)+X33</f>
        <v>1</v>
      </c>
      <c r="Z33" s="109">
        <f>IF(SUM($J32:Z32)=1,1,0)+Y33</f>
        <v>1</v>
      </c>
      <c r="AA33" s="109">
        <f>IF(SUM($J32:AA32)=1,1,0)+Z33</f>
        <v>1</v>
      </c>
      <c r="AB33" s="109">
        <f>IF(SUM($J32:AB32)=1,1,0)+AA33</f>
        <v>1</v>
      </c>
      <c r="AC33" s="109">
        <f>IF(SUM($J32:AC32)=1,1,0)+AB33</f>
        <v>1</v>
      </c>
      <c r="AD33" s="109">
        <f>IF(SUM($J32:AD32)=1,1,0)+AC33</f>
        <v>1</v>
      </c>
      <c r="AE33" s="109">
        <f>IF(SUM($J32:AE32)=1,1,0)+AD33</f>
        <v>1</v>
      </c>
      <c r="AF33" s="109">
        <f>IF(SUM($J32:AF32)=1,1,0)+AE33</f>
        <v>1</v>
      </c>
      <c r="AG33" s="109">
        <f>IF(SUM($J32:AG32)=1,1,0)+AF33</f>
        <v>1</v>
      </c>
      <c r="AH33" s="109">
        <f>IF(SUM($J32:AH32)=1,1,0)+AG33</f>
        <v>1</v>
      </c>
      <c r="AI33" s="109">
        <f>IF(SUM($J32:AI32)=1,1,0)+AH33</f>
        <v>1</v>
      </c>
      <c r="AJ33" s="109">
        <f>IF(SUM($J32:AJ32)=1,1,0)+AI33</f>
        <v>1</v>
      </c>
      <c r="AK33" s="109">
        <f>IF(SUM($J32:AK32)=1,1,0)+AJ33</f>
        <v>1</v>
      </c>
      <c r="AL33" s="109">
        <f>IF(SUM($J32:AL32)=1,1,0)+AK33</f>
        <v>1</v>
      </c>
      <c r="AM33" s="109">
        <f>IF(SUM($J32:AM32)=1,1,0)+AL33</f>
        <v>1</v>
      </c>
      <c r="AN33" s="109"/>
      <c r="AO33" s="109"/>
      <c r="AP33" s="109"/>
      <c r="AQ33" s="109"/>
      <c r="AR33" s="109"/>
      <c r="AS33" s="109"/>
      <c r="AT33" s="109"/>
      <c r="AU33" s="109"/>
      <c r="AV33" s="109"/>
      <c r="AW33" s="109"/>
      <c r="AX33" s="109"/>
      <c r="AY33" s="109"/>
      <c r="AZ33" s="109"/>
      <c r="BA33" s="109"/>
      <c r="BB33" s="109"/>
      <c r="BC33" s="109"/>
      <c r="BD33" s="109"/>
      <c r="BE33" s="100"/>
      <c r="BF33" s="100"/>
      <c r="BG33" s="100"/>
      <c r="BH33" s="100"/>
    </row>
    <row r="34" spans="1:60" ht="15.65" customHeight="1" x14ac:dyDescent="0.5">
      <c r="A34" s="25"/>
      <c r="B34" s="25"/>
      <c r="C34" s="98" t="s">
        <v>117</v>
      </c>
      <c r="D34" s="99"/>
      <c r="E34" s="99"/>
      <c r="F34" s="106"/>
      <c r="G34" s="99"/>
      <c r="H34" s="99"/>
      <c r="I34" s="99"/>
      <c r="J34" s="107">
        <f>SUM($J29:J29)</f>
        <v>1</v>
      </c>
      <c r="K34" s="107">
        <f>SUM($J29:K29)</f>
        <v>2</v>
      </c>
      <c r="L34" s="107">
        <f>SUM($J29:L29)</f>
        <v>3</v>
      </c>
      <c r="M34" s="107">
        <f>SUM($J29:M29)</f>
        <v>4</v>
      </c>
      <c r="N34" s="107">
        <f>SUM($J29:N29)</f>
        <v>5</v>
      </c>
      <c r="O34" s="107">
        <f>SUM($J29:O29)</f>
        <v>6</v>
      </c>
      <c r="P34" s="107">
        <f>SUM($J29:P29)</f>
        <v>7</v>
      </c>
      <c r="Q34" s="107">
        <f>SUM($J29:Q29)</f>
        <v>8</v>
      </c>
      <c r="R34" s="107">
        <f>SUM($J29:R29)</f>
        <v>9</v>
      </c>
      <c r="S34" s="107">
        <f>SUM($J29:S29)</f>
        <v>10</v>
      </c>
      <c r="T34" s="107">
        <f>SUM($J29:T29)</f>
        <v>11</v>
      </c>
      <c r="U34" s="107">
        <f>SUM($J29:U29)</f>
        <v>12</v>
      </c>
      <c r="V34" s="107">
        <f>SUM($J29:V29)</f>
        <v>13</v>
      </c>
      <c r="W34" s="107">
        <f>SUM($J29:W29)</f>
        <v>14</v>
      </c>
      <c r="X34" s="107">
        <f>SUM($J29:X29)</f>
        <v>15</v>
      </c>
      <c r="Y34" s="107">
        <f>SUM($J29:Y29)</f>
        <v>16</v>
      </c>
      <c r="Z34" s="107">
        <f>SUM($J29:Z29)</f>
        <v>17</v>
      </c>
      <c r="AA34" s="107">
        <f>SUM($J29:AA29)</f>
        <v>18</v>
      </c>
      <c r="AB34" s="107">
        <f>SUM($J29:AB29)</f>
        <v>19</v>
      </c>
      <c r="AC34" s="107">
        <f>SUM($J29:AC29)</f>
        <v>20</v>
      </c>
      <c r="AD34" s="107">
        <f>SUM($J29:AD29)</f>
        <v>21</v>
      </c>
      <c r="AE34" s="107">
        <f>SUM($J29:AE29)</f>
        <v>22</v>
      </c>
      <c r="AF34" s="107">
        <f>SUM($J29:AF29)</f>
        <v>23</v>
      </c>
      <c r="AG34" s="107">
        <f>SUM($J29:AG29)</f>
        <v>24</v>
      </c>
      <c r="AH34" s="107">
        <f>SUM($J29:AH29)</f>
        <v>25</v>
      </c>
      <c r="AI34" s="107">
        <f>SUM($J29:AI29)</f>
        <v>26</v>
      </c>
      <c r="AJ34" s="107">
        <f>SUM($J29:AJ29)</f>
        <v>27</v>
      </c>
      <c r="AK34" s="107">
        <f>SUM($J29:AK29)</f>
        <v>28</v>
      </c>
      <c r="AL34" s="107">
        <f>SUM($J29:AL29)</f>
        <v>29</v>
      </c>
      <c r="AM34" s="107">
        <f>SUM($J29:AM29)</f>
        <v>30</v>
      </c>
      <c r="AN34" s="107"/>
      <c r="AO34" s="107"/>
      <c r="AP34" s="107"/>
      <c r="AQ34" s="107"/>
      <c r="AR34" s="107"/>
      <c r="AS34" s="107"/>
      <c r="AT34" s="107"/>
      <c r="AU34" s="107"/>
      <c r="AV34" s="107"/>
      <c r="AW34" s="107"/>
      <c r="AX34" s="107"/>
      <c r="AY34" s="107"/>
      <c r="AZ34" s="107"/>
      <c r="BA34" s="107"/>
      <c r="BB34" s="107"/>
      <c r="BC34" s="107"/>
      <c r="BD34" s="107"/>
      <c r="BE34" s="107"/>
      <c r="BF34" s="107"/>
      <c r="BG34" s="107"/>
      <c r="BH34" s="107"/>
    </row>
    <row r="35" spans="1:60" x14ac:dyDescent="0.5">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row>
    <row r="36" spans="1:60" x14ac:dyDescent="0.5">
      <c r="A36" s="25"/>
      <c r="B36" s="25"/>
      <c r="C36" s="25" t="s">
        <v>94</v>
      </c>
      <c r="D36" s="25" t="s">
        <v>1</v>
      </c>
      <c r="E36" s="25"/>
      <c r="G36" s="25"/>
      <c r="H36" s="105">
        <f>J36+NPV(discountrate,K36:AK36)</f>
        <v>0</v>
      </c>
      <c r="I36" s="25"/>
      <c r="J36" s="105">
        <f t="shared" ref="J36:AM36" si="6">INDEX(networkvolumes,MATCH($C36,volumesnames,0),MATCH(J$7,years,0))</f>
        <v>0</v>
      </c>
      <c r="K36" s="105">
        <f t="shared" si="6"/>
        <v>0</v>
      </c>
      <c r="L36" s="105">
        <f t="shared" si="6"/>
        <v>0</v>
      </c>
      <c r="M36" s="105">
        <f t="shared" si="6"/>
        <v>0</v>
      </c>
      <c r="N36" s="105">
        <f t="shared" si="6"/>
        <v>0</v>
      </c>
      <c r="O36" s="105">
        <f t="shared" si="6"/>
        <v>0</v>
      </c>
      <c r="P36" s="105">
        <f t="shared" si="6"/>
        <v>0</v>
      </c>
      <c r="Q36" s="105">
        <f t="shared" si="6"/>
        <v>0</v>
      </c>
      <c r="R36" s="105">
        <f t="shared" si="6"/>
        <v>0</v>
      </c>
      <c r="S36" s="105">
        <f t="shared" si="6"/>
        <v>0</v>
      </c>
      <c r="T36" s="105">
        <f t="shared" si="6"/>
        <v>0</v>
      </c>
      <c r="U36" s="105">
        <f t="shared" si="6"/>
        <v>0</v>
      </c>
      <c r="V36" s="105">
        <f t="shared" si="6"/>
        <v>0</v>
      </c>
      <c r="W36" s="105">
        <f t="shared" si="6"/>
        <v>0</v>
      </c>
      <c r="X36" s="105">
        <f t="shared" si="6"/>
        <v>0</v>
      </c>
      <c r="Y36" s="105">
        <f t="shared" si="6"/>
        <v>0</v>
      </c>
      <c r="Z36" s="105">
        <f t="shared" si="6"/>
        <v>0</v>
      </c>
      <c r="AA36" s="105">
        <f t="shared" si="6"/>
        <v>0</v>
      </c>
      <c r="AB36" s="105">
        <f t="shared" si="6"/>
        <v>0</v>
      </c>
      <c r="AC36" s="105">
        <f t="shared" si="6"/>
        <v>0</v>
      </c>
      <c r="AD36" s="105">
        <f t="shared" si="6"/>
        <v>0</v>
      </c>
      <c r="AE36" s="105">
        <f t="shared" si="6"/>
        <v>0</v>
      </c>
      <c r="AF36" s="105">
        <f t="shared" si="6"/>
        <v>0</v>
      </c>
      <c r="AG36" s="105">
        <f t="shared" si="6"/>
        <v>0</v>
      </c>
      <c r="AH36" s="105">
        <f t="shared" si="6"/>
        <v>0</v>
      </c>
      <c r="AI36" s="105">
        <f t="shared" si="6"/>
        <v>0</v>
      </c>
      <c r="AJ36" s="105">
        <f t="shared" si="6"/>
        <v>0</v>
      </c>
      <c r="AK36" s="105">
        <f t="shared" si="6"/>
        <v>0</v>
      </c>
      <c r="AL36" s="105">
        <f t="shared" si="6"/>
        <v>0</v>
      </c>
      <c r="AM36" s="105">
        <f t="shared" si="6"/>
        <v>0</v>
      </c>
      <c r="AN36" s="25"/>
      <c r="AO36" s="25"/>
      <c r="AP36" s="25"/>
      <c r="AQ36" s="25"/>
      <c r="AR36" s="25"/>
      <c r="AS36" s="25"/>
      <c r="AT36" s="25"/>
      <c r="AU36" s="25"/>
      <c r="AV36" s="25"/>
      <c r="AW36" s="25"/>
      <c r="AX36" s="25"/>
      <c r="AY36" s="25"/>
      <c r="AZ36" s="25"/>
    </row>
    <row r="37" spans="1:60" x14ac:dyDescent="0.5">
      <c r="A37" s="25"/>
      <c r="B37" s="25"/>
      <c r="C37" s="25" t="s">
        <v>147</v>
      </c>
      <c r="D37" s="25" t="s">
        <v>150</v>
      </c>
      <c r="E37" s="25"/>
      <c r="F37" s="106"/>
      <c r="G37" s="25"/>
      <c r="H37" s="25"/>
      <c r="I37" s="25"/>
      <c r="J37" s="105">
        <f>J46</f>
        <v>0</v>
      </c>
      <c r="K37" s="105">
        <f t="shared" ref="K37:AM37" si="7">K46</f>
        <v>0</v>
      </c>
      <c r="L37" s="105">
        <f t="shared" si="7"/>
        <v>0</v>
      </c>
      <c r="M37" s="105">
        <f t="shared" si="7"/>
        <v>0</v>
      </c>
      <c r="N37" s="105">
        <f t="shared" si="7"/>
        <v>0</v>
      </c>
      <c r="O37" s="105">
        <f t="shared" si="7"/>
        <v>0</v>
      </c>
      <c r="P37" s="105">
        <f t="shared" si="7"/>
        <v>0</v>
      </c>
      <c r="Q37" s="105">
        <f t="shared" si="7"/>
        <v>0</v>
      </c>
      <c r="R37" s="105">
        <f t="shared" si="7"/>
        <v>0</v>
      </c>
      <c r="S37" s="105">
        <f t="shared" si="7"/>
        <v>0</v>
      </c>
      <c r="T37" s="105">
        <f t="shared" si="7"/>
        <v>0</v>
      </c>
      <c r="U37" s="105">
        <f t="shared" si="7"/>
        <v>0</v>
      </c>
      <c r="V37" s="105">
        <f t="shared" si="7"/>
        <v>0</v>
      </c>
      <c r="W37" s="105">
        <f t="shared" si="7"/>
        <v>0</v>
      </c>
      <c r="X37" s="105">
        <f t="shared" si="7"/>
        <v>0</v>
      </c>
      <c r="Y37" s="105">
        <f t="shared" si="7"/>
        <v>0</v>
      </c>
      <c r="Z37" s="105">
        <f t="shared" si="7"/>
        <v>0</v>
      </c>
      <c r="AA37" s="105">
        <f t="shared" si="7"/>
        <v>0</v>
      </c>
      <c r="AB37" s="105">
        <f t="shared" si="7"/>
        <v>0</v>
      </c>
      <c r="AC37" s="105">
        <f t="shared" si="7"/>
        <v>0</v>
      </c>
      <c r="AD37" s="105">
        <f t="shared" si="7"/>
        <v>0</v>
      </c>
      <c r="AE37" s="105">
        <f t="shared" si="7"/>
        <v>0</v>
      </c>
      <c r="AF37" s="105">
        <f t="shared" si="7"/>
        <v>0</v>
      </c>
      <c r="AG37" s="105">
        <f t="shared" si="7"/>
        <v>0</v>
      </c>
      <c r="AH37" s="105">
        <f t="shared" si="7"/>
        <v>0</v>
      </c>
      <c r="AI37" s="105">
        <f t="shared" si="7"/>
        <v>0</v>
      </c>
      <c r="AJ37" s="105">
        <f t="shared" si="7"/>
        <v>0</v>
      </c>
      <c r="AK37" s="105">
        <f t="shared" si="7"/>
        <v>0</v>
      </c>
      <c r="AL37" s="105">
        <f t="shared" si="7"/>
        <v>0</v>
      </c>
      <c r="AM37" s="105">
        <f t="shared" si="7"/>
        <v>0</v>
      </c>
      <c r="AN37" s="25"/>
      <c r="AO37" s="25"/>
      <c r="AP37" s="25"/>
      <c r="AQ37" s="25"/>
      <c r="AR37" s="25"/>
      <c r="AS37" s="25"/>
      <c r="AT37" s="25"/>
      <c r="AU37" s="25"/>
      <c r="AV37" s="25"/>
      <c r="AW37" s="25"/>
      <c r="AX37" s="25"/>
      <c r="AY37" s="25"/>
      <c r="AZ37" s="25"/>
    </row>
    <row r="38" spans="1:60" x14ac:dyDescent="0.5">
      <c r="A38" s="25"/>
      <c r="B38" s="25"/>
      <c r="C38" s="25" t="s">
        <v>23</v>
      </c>
      <c r="D38" s="25" t="s">
        <v>131</v>
      </c>
      <c r="E38" s="25"/>
      <c r="F38" s="106" t="s">
        <v>129</v>
      </c>
      <c r="G38" s="25"/>
      <c r="I38" s="25"/>
      <c r="J38" s="104" cm="1">
        <f t="array" ref="J38">IF(J33=0,0,INDEX(capex,MATCH($B15,assetnames,0),J33))</f>
        <v>0</v>
      </c>
      <c r="K38" s="104" cm="1">
        <f t="array" ref="K38">IF(K33=0,0,INDEX(capex,MATCH($B15,assetnames,0),K33))</f>
        <v>0</v>
      </c>
      <c r="L38" s="104" cm="1">
        <f t="array" ref="L38">IF(L33=0,0,INDEX(capex,MATCH($B15,assetnames,0),L33))</f>
        <v>0</v>
      </c>
      <c r="M38" s="104" cm="1">
        <f t="array" ref="M38">IF(M33=0,0,INDEX(capex,MATCH($B15,assetnames,0),M33))</f>
        <v>0</v>
      </c>
      <c r="N38" s="104" cm="1">
        <f t="array" ref="N38">IF(N33=0,0,INDEX(capex,MATCH($B15,assetnames,0),N33))</f>
        <v>0</v>
      </c>
      <c r="O38" s="104" cm="1">
        <f t="array" ref="O38">IF(O33=0,0,INDEX(capex,MATCH($B15,assetnames,0),O33))</f>
        <v>0</v>
      </c>
      <c r="P38" s="104" cm="1">
        <f t="array" ref="P38">IF(P33=0,0,INDEX(capex,MATCH($B15,assetnames,0),P33))</f>
        <v>0</v>
      </c>
      <c r="Q38" s="104" cm="1">
        <f t="array" ref="Q38">IF(Q33=0,0,INDEX(capex,MATCH($B15,assetnames,0),Q33))</f>
        <v>0</v>
      </c>
      <c r="R38" s="104" cm="1">
        <f t="array" ref="R38">IF(R33=0,0,INDEX(capex,MATCH($B15,assetnames,0),R33))</f>
        <v>0</v>
      </c>
      <c r="S38" s="104" cm="1">
        <f t="array" ref="S38">IF(S33=0,0,INDEX(capex,MATCH($B15,assetnames,0),S33))</f>
        <v>0</v>
      </c>
      <c r="T38" s="104" cm="1">
        <f t="array" ref="T38">IF(T33=0,0,INDEX(capex,MATCH($B15,assetnames,0),T33))</f>
        <v>0</v>
      </c>
      <c r="U38" s="104" cm="1">
        <f t="array" ref="U38">IF(U33=0,0,INDEX(capex,MATCH($B15,assetnames,0),U33))</f>
        <v>0</v>
      </c>
      <c r="V38" s="104" cm="1">
        <f t="array" ref="V38">IF(V33=0,0,INDEX(capex,MATCH($B15,assetnames,0),V33))</f>
        <v>0</v>
      </c>
      <c r="W38" s="104" cm="1">
        <f t="array" ref="W38">IF(W33=0,0,INDEX(capex,MATCH($B15,assetnames,0),W33))</f>
        <v>0</v>
      </c>
      <c r="X38" s="104" cm="1">
        <f t="array" ref="X38">IF(X33=0,0,INDEX(capex,MATCH($B15,assetnames,0),X33))</f>
        <v>0</v>
      </c>
      <c r="Y38" s="104" cm="1">
        <f t="array" ref="Y38">IF(Y33=0,0,INDEX(capex,MATCH($B15,assetnames,0),Y33))</f>
        <v>0</v>
      </c>
      <c r="Z38" s="104" cm="1">
        <f t="array" ref="Z38">IF(Z33=0,0,INDEX(capex,MATCH($B15,assetnames,0),Z33))</f>
        <v>0</v>
      </c>
      <c r="AA38" s="104" cm="1">
        <f t="array" ref="AA38">IF(AA33=0,0,INDEX(capex,MATCH($B15,assetnames,0),AA33))</f>
        <v>0</v>
      </c>
      <c r="AB38" s="104" cm="1">
        <f t="array" ref="AB38">IF(AB33=0,0,INDEX(capex,MATCH($B15,assetnames,0),AB33))</f>
        <v>0</v>
      </c>
      <c r="AC38" s="104" cm="1">
        <f t="array" ref="AC38">IF(AC33=0,0,INDEX(capex,MATCH($B15,assetnames,0),AC33))</f>
        <v>0</v>
      </c>
      <c r="AD38" s="104" cm="1">
        <f t="array" ref="AD38">IF(AD33=0,0,INDEX(capex,MATCH($B15,assetnames,0),AD33))</f>
        <v>0</v>
      </c>
      <c r="AE38" s="104" cm="1">
        <f t="array" ref="AE38">IF(AE33=0,0,INDEX(capex,MATCH($B15,assetnames,0),AE33))</f>
        <v>0</v>
      </c>
      <c r="AF38" s="104" cm="1">
        <f t="array" ref="AF38">IF(AF33=0,0,INDEX(capex,MATCH($B15,assetnames,0),AF33))</f>
        <v>0</v>
      </c>
      <c r="AG38" s="104" cm="1">
        <f t="array" ref="AG38">IF(AG33=0,0,INDEX(capex,MATCH($B15,assetnames,0),AG33))</f>
        <v>0</v>
      </c>
      <c r="AH38" s="104" cm="1">
        <f t="array" ref="AH38">IF(AH33=0,0,INDEX(capex,MATCH($B15,assetnames,0),AH33))</f>
        <v>0</v>
      </c>
      <c r="AI38" s="104" cm="1">
        <f t="array" ref="AI38">IF(AI33=0,0,INDEX(capex,MATCH($B15,assetnames,0),AI33))</f>
        <v>0</v>
      </c>
      <c r="AJ38" s="104" cm="1">
        <f t="array" ref="AJ38">IF(AJ33=0,0,INDEX(capex,MATCH($B15,assetnames,0),AJ33))</f>
        <v>0</v>
      </c>
      <c r="AK38" s="104" cm="1">
        <f t="array" ref="AK38">IF(AK33=0,0,INDEX(capex,MATCH($B15,assetnames,0),AK33))</f>
        <v>0</v>
      </c>
      <c r="AL38" s="104" cm="1">
        <f t="array" ref="AL38">IF(AL33=0,0,INDEX(capex,MATCH($B15,assetnames,0),AL33))</f>
        <v>0</v>
      </c>
      <c r="AM38" s="104" cm="1">
        <f t="array" ref="AM38">IF(AM33=0,0,INDEX(capex,MATCH($B15,assetnames,0),AM33))</f>
        <v>0</v>
      </c>
      <c r="AN38" s="25"/>
      <c r="AO38" s="25"/>
      <c r="AP38" s="25"/>
      <c r="AQ38" s="25"/>
      <c r="AR38" s="25"/>
      <c r="AS38" s="25"/>
      <c r="AT38" s="25"/>
      <c r="AU38" s="25"/>
      <c r="AV38" s="25"/>
      <c r="AW38" s="25"/>
      <c r="AX38" s="25"/>
      <c r="AY38" s="25"/>
      <c r="AZ38" s="25"/>
    </row>
    <row r="39" spans="1:60" x14ac:dyDescent="0.5">
      <c r="A39" s="25"/>
      <c r="B39" s="25"/>
      <c r="C39" s="25" t="s">
        <v>24</v>
      </c>
      <c r="D39" s="25" t="s">
        <v>131</v>
      </c>
      <c r="E39" s="25"/>
      <c r="F39" s="121" t="str">
        <f>IF(H40=0,"",INDEX($J$7:$AM$7,1,MATCH(1,$J32:$AM32,0)))</f>
        <v/>
      </c>
      <c r="G39" s="25"/>
      <c r="H39" s="25"/>
      <c r="I39" s="25"/>
      <c r="J39" s="104">
        <f t="shared" ref="J39:AM39" si="8">IF(J29=1,INDEX(opex,MATCH($B15,assetnames,0),J34),0)</f>
        <v>0</v>
      </c>
      <c r="K39" s="104">
        <f t="shared" si="8"/>
        <v>0</v>
      </c>
      <c r="L39" s="104">
        <f t="shared" si="8"/>
        <v>0</v>
      </c>
      <c r="M39" s="104">
        <f t="shared" si="8"/>
        <v>0</v>
      </c>
      <c r="N39" s="104">
        <f t="shared" si="8"/>
        <v>0</v>
      </c>
      <c r="O39" s="104">
        <f t="shared" si="8"/>
        <v>0</v>
      </c>
      <c r="P39" s="104">
        <f t="shared" si="8"/>
        <v>0</v>
      </c>
      <c r="Q39" s="104">
        <f t="shared" si="8"/>
        <v>0</v>
      </c>
      <c r="R39" s="104">
        <f t="shared" si="8"/>
        <v>0</v>
      </c>
      <c r="S39" s="104">
        <f t="shared" si="8"/>
        <v>0</v>
      </c>
      <c r="T39" s="104">
        <f t="shared" si="8"/>
        <v>0</v>
      </c>
      <c r="U39" s="104">
        <f t="shared" si="8"/>
        <v>0</v>
      </c>
      <c r="V39" s="104">
        <f t="shared" si="8"/>
        <v>0</v>
      </c>
      <c r="W39" s="104">
        <f t="shared" si="8"/>
        <v>0</v>
      </c>
      <c r="X39" s="104">
        <f t="shared" si="8"/>
        <v>0</v>
      </c>
      <c r="Y39" s="104">
        <f t="shared" si="8"/>
        <v>0</v>
      </c>
      <c r="Z39" s="104">
        <f t="shared" si="8"/>
        <v>0</v>
      </c>
      <c r="AA39" s="104">
        <f t="shared" si="8"/>
        <v>0</v>
      </c>
      <c r="AB39" s="104">
        <f t="shared" si="8"/>
        <v>0</v>
      </c>
      <c r="AC39" s="104">
        <f t="shared" si="8"/>
        <v>0</v>
      </c>
      <c r="AD39" s="104">
        <f t="shared" si="8"/>
        <v>0</v>
      </c>
      <c r="AE39" s="104">
        <f t="shared" si="8"/>
        <v>0</v>
      </c>
      <c r="AF39" s="104">
        <f t="shared" si="8"/>
        <v>0</v>
      </c>
      <c r="AG39" s="104">
        <f t="shared" si="8"/>
        <v>0</v>
      </c>
      <c r="AH39" s="104">
        <f t="shared" si="8"/>
        <v>0</v>
      </c>
      <c r="AI39" s="104">
        <f t="shared" si="8"/>
        <v>0</v>
      </c>
      <c r="AJ39" s="104">
        <f t="shared" si="8"/>
        <v>0</v>
      </c>
      <c r="AK39" s="104">
        <f t="shared" si="8"/>
        <v>0</v>
      </c>
      <c r="AL39" s="104">
        <f t="shared" si="8"/>
        <v>0</v>
      </c>
      <c r="AM39" s="104">
        <f t="shared" si="8"/>
        <v>0</v>
      </c>
      <c r="AN39" s="25"/>
      <c r="AO39" s="25"/>
      <c r="AP39" s="25"/>
      <c r="AQ39" s="25"/>
      <c r="AR39" s="25"/>
      <c r="AS39" s="25"/>
      <c r="AT39" s="25"/>
      <c r="AU39" s="25"/>
      <c r="AV39" s="25"/>
      <c r="AW39" s="25"/>
      <c r="AX39" s="25"/>
      <c r="AY39" s="25"/>
      <c r="AZ39" s="25"/>
    </row>
    <row r="40" spans="1:60" s="101" customFormat="1" x14ac:dyDescent="0.5">
      <c r="A40" s="26"/>
      <c r="B40" s="26"/>
      <c r="C40" s="26" t="s">
        <v>25</v>
      </c>
      <c r="D40" s="26" t="s">
        <v>131</v>
      </c>
      <c r="E40" s="26"/>
      <c r="F40" s="26"/>
      <c r="G40" s="26"/>
      <c r="H40" s="105">
        <f>J40+NPV(discountrate,K40:AK40)</f>
        <v>0</v>
      </c>
      <c r="I40" s="26"/>
      <c r="J40" s="105">
        <f>SUM(J37:J39)</f>
        <v>0</v>
      </c>
      <c r="K40" s="105">
        <f>SUM(K37:K39)</f>
        <v>0</v>
      </c>
      <c r="L40" s="105">
        <f t="shared" ref="L40:AM40" si="9">SUM(L37:L39)</f>
        <v>0</v>
      </c>
      <c r="M40" s="105">
        <f t="shared" si="9"/>
        <v>0</v>
      </c>
      <c r="N40" s="105">
        <f t="shared" si="9"/>
        <v>0</v>
      </c>
      <c r="O40" s="105">
        <f t="shared" si="9"/>
        <v>0</v>
      </c>
      <c r="P40" s="105">
        <f t="shared" si="9"/>
        <v>0</v>
      </c>
      <c r="Q40" s="105">
        <f t="shared" si="9"/>
        <v>0</v>
      </c>
      <c r="R40" s="105">
        <f t="shared" si="9"/>
        <v>0</v>
      </c>
      <c r="S40" s="105">
        <f t="shared" si="9"/>
        <v>0</v>
      </c>
      <c r="T40" s="105">
        <f t="shared" si="9"/>
        <v>0</v>
      </c>
      <c r="U40" s="105">
        <f t="shared" si="9"/>
        <v>0</v>
      </c>
      <c r="V40" s="105">
        <f t="shared" si="9"/>
        <v>0</v>
      </c>
      <c r="W40" s="105">
        <f t="shared" si="9"/>
        <v>0</v>
      </c>
      <c r="X40" s="105">
        <f t="shared" si="9"/>
        <v>0</v>
      </c>
      <c r="Y40" s="105">
        <f t="shared" si="9"/>
        <v>0</v>
      </c>
      <c r="Z40" s="105">
        <f t="shared" si="9"/>
        <v>0</v>
      </c>
      <c r="AA40" s="105">
        <f t="shared" si="9"/>
        <v>0</v>
      </c>
      <c r="AB40" s="105">
        <f t="shared" si="9"/>
        <v>0</v>
      </c>
      <c r="AC40" s="105">
        <f t="shared" si="9"/>
        <v>0</v>
      </c>
      <c r="AD40" s="105">
        <f t="shared" si="9"/>
        <v>0</v>
      </c>
      <c r="AE40" s="105">
        <f t="shared" si="9"/>
        <v>0</v>
      </c>
      <c r="AF40" s="105">
        <f t="shared" si="9"/>
        <v>0</v>
      </c>
      <c r="AG40" s="105">
        <f t="shared" si="9"/>
        <v>0</v>
      </c>
      <c r="AH40" s="105">
        <f t="shared" si="9"/>
        <v>0</v>
      </c>
      <c r="AI40" s="105">
        <f t="shared" si="9"/>
        <v>0</v>
      </c>
      <c r="AJ40" s="105">
        <f t="shared" si="9"/>
        <v>0</v>
      </c>
      <c r="AK40" s="105">
        <f t="shared" si="9"/>
        <v>0</v>
      </c>
      <c r="AL40" s="105">
        <f t="shared" si="9"/>
        <v>0</v>
      </c>
      <c r="AM40" s="105">
        <f t="shared" si="9"/>
        <v>0</v>
      </c>
      <c r="AN40" s="26"/>
      <c r="AO40" s="26"/>
      <c r="AP40" s="26"/>
      <c r="AQ40" s="26"/>
      <c r="AR40" s="26"/>
      <c r="AS40" s="26"/>
      <c r="AT40" s="26"/>
      <c r="AU40" s="26"/>
      <c r="AV40" s="26"/>
      <c r="AW40" s="26"/>
      <c r="AX40" s="26"/>
      <c r="AY40" s="26"/>
      <c r="AZ40" s="26"/>
    </row>
    <row r="41" spans="1:60" s="101" customFormat="1" x14ac:dyDescent="0.5">
      <c r="A41" s="26"/>
      <c r="B41" s="26"/>
      <c r="C41" s="26"/>
      <c r="D41" s="26"/>
      <c r="E41" s="26"/>
      <c r="F41" s="26"/>
      <c r="G41" s="26"/>
      <c r="H41" s="154"/>
      <c r="I41" s="26"/>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26"/>
      <c r="AO41" s="26"/>
      <c r="AP41" s="26"/>
      <c r="AQ41" s="26"/>
      <c r="AR41" s="26"/>
      <c r="AS41" s="26"/>
      <c r="AT41" s="26"/>
      <c r="AU41" s="26"/>
      <c r="AV41" s="26"/>
      <c r="AW41" s="26"/>
      <c r="AX41" s="26"/>
      <c r="AY41" s="26"/>
      <c r="AZ41" s="26"/>
    </row>
    <row r="42" spans="1:60" s="101" customFormat="1" x14ac:dyDescent="0.5">
      <c r="A42" s="26"/>
      <c r="B42" s="26"/>
      <c r="C42" s="26" t="s">
        <v>147</v>
      </c>
      <c r="D42" s="26"/>
      <c r="E42" s="26"/>
      <c r="F42" s="26"/>
      <c r="G42" s="26"/>
      <c r="H42" s="154"/>
      <c r="I42" s="26"/>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26"/>
      <c r="AO42" s="26"/>
      <c r="AP42" s="26"/>
      <c r="AQ42" s="26"/>
      <c r="AR42" s="26"/>
      <c r="AS42" s="26"/>
      <c r="AT42" s="26"/>
      <c r="AU42" s="26"/>
      <c r="AV42" s="26"/>
      <c r="AW42" s="26"/>
      <c r="AX42" s="26"/>
      <c r="AY42" s="26"/>
      <c r="AZ42" s="26"/>
    </row>
    <row r="43" spans="1:60" s="101" customFormat="1" x14ac:dyDescent="0.5">
      <c r="A43" s="26"/>
      <c r="B43" s="26"/>
      <c r="C43" s="26"/>
      <c r="D43" s="26"/>
      <c r="E43" s="26"/>
      <c r="F43" s="26"/>
      <c r="G43" s="26"/>
      <c r="H43" s="154"/>
      <c r="I43" s="26"/>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26"/>
      <c r="AO43" s="26"/>
      <c r="AP43" s="26"/>
      <c r="AQ43" s="26"/>
      <c r="AR43" s="26"/>
      <c r="AS43" s="26"/>
      <c r="AT43" s="26"/>
      <c r="AU43" s="26"/>
      <c r="AV43" s="26"/>
      <c r="AW43" s="26"/>
      <c r="AX43" s="26"/>
      <c r="AY43" s="26"/>
      <c r="AZ43" s="26"/>
    </row>
    <row r="44" spans="1:60" s="101" customFormat="1" x14ac:dyDescent="0.5">
      <c r="A44" s="26"/>
      <c r="B44" s="26"/>
      <c r="C44" s="25" t="s">
        <v>94</v>
      </c>
      <c r="D44" s="25" t="s">
        <v>35</v>
      </c>
      <c r="E44" s="26"/>
      <c r="F44" s="26"/>
      <c r="G44" s="26"/>
      <c r="H44" s="157"/>
      <c r="I44" s="26"/>
      <c r="J44" s="105">
        <f t="shared" ref="J44:AM44" si="10">INDEX(networkvolumes,MATCH($C44,volumesnames,0),MATCH(J$7,years,0))</f>
        <v>0</v>
      </c>
      <c r="K44" s="105">
        <f t="shared" si="10"/>
        <v>0</v>
      </c>
      <c r="L44" s="105">
        <f t="shared" si="10"/>
        <v>0</v>
      </c>
      <c r="M44" s="105">
        <f t="shared" si="10"/>
        <v>0</v>
      </c>
      <c r="N44" s="105">
        <f t="shared" si="10"/>
        <v>0</v>
      </c>
      <c r="O44" s="105">
        <f t="shared" si="10"/>
        <v>0</v>
      </c>
      <c r="P44" s="105">
        <f t="shared" si="10"/>
        <v>0</v>
      </c>
      <c r="Q44" s="105">
        <f t="shared" si="10"/>
        <v>0</v>
      </c>
      <c r="R44" s="105">
        <f t="shared" si="10"/>
        <v>0</v>
      </c>
      <c r="S44" s="105">
        <f t="shared" si="10"/>
        <v>0</v>
      </c>
      <c r="T44" s="105">
        <f t="shared" si="10"/>
        <v>0</v>
      </c>
      <c r="U44" s="105">
        <f t="shared" si="10"/>
        <v>0</v>
      </c>
      <c r="V44" s="105">
        <f t="shared" si="10"/>
        <v>0</v>
      </c>
      <c r="W44" s="105">
        <f t="shared" si="10"/>
        <v>0</v>
      </c>
      <c r="X44" s="105">
        <f t="shared" si="10"/>
        <v>0</v>
      </c>
      <c r="Y44" s="105">
        <f t="shared" si="10"/>
        <v>0</v>
      </c>
      <c r="Z44" s="105">
        <f t="shared" si="10"/>
        <v>0</v>
      </c>
      <c r="AA44" s="105">
        <f t="shared" si="10"/>
        <v>0</v>
      </c>
      <c r="AB44" s="105">
        <f t="shared" si="10"/>
        <v>0</v>
      </c>
      <c r="AC44" s="105">
        <f t="shared" si="10"/>
        <v>0</v>
      </c>
      <c r="AD44" s="105">
        <f t="shared" si="10"/>
        <v>0</v>
      </c>
      <c r="AE44" s="105">
        <f t="shared" si="10"/>
        <v>0</v>
      </c>
      <c r="AF44" s="105">
        <f t="shared" si="10"/>
        <v>0</v>
      </c>
      <c r="AG44" s="105">
        <f t="shared" si="10"/>
        <v>0</v>
      </c>
      <c r="AH44" s="105">
        <f t="shared" si="10"/>
        <v>0</v>
      </c>
      <c r="AI44" s="105">
        <f t="shared" si="10"/>
        <v>0</v>
      </c>
      <c r="AJ44" s="105">
        <f t="shared" si="10"/>
        <v>0</v>
      </c>
      <c r="AK44" s="105">
        <f t="shared" si="10"/>
        <v>0</v>
      </c>
      <c r="AL44" s="105">
        <f t="shared" si="10"/>
        <v>0</v>
      </c>
      <c r="AM44" s="105">
        <f t="shared" si="10"/>
        <v>0</v>
      </c>
      <c r="AN44" s="26"/>
      <c r="AO44" s="26"/>
      <c r="AP44" s="26"/>
      <c r="AQ44" s="26"/>
      <c r="AR44" s="26"/>
      <c r="AS44" s="26"/>
      <c r="AT44" s="26"/>
      <c r="AU44" s="26"/>
      <c r="AV44" s="26"/>
      <c r="AW44" s="26"/>
      <c r="AX44" s="26"/>
      <c r="AY44" s="26"/>
      <c r="AZ44" s="26"/>
    </row>
    <row r="45" spans="1:60" s="101" customFormat="1" x14ac:dyDescent="0.5">
      <c r="A45" s="26"/>
      <c r="B45" s="26"/>
      <c r="C45" s="25" t="s">
        <v>148</v>
      </c>
      <c r="D45" s="25" t="s">
        <v>150</v>
      </c>
      <c r="E45" s="26"/>
      <c r="F45" s="26"/>
      <c r="G45" s="26"/>
      <c r="H45" s="157"/>
      <c r="I45" s="26"/>
      <c r="J45" s="105">
        <f t="shared" ref="J45:AM45" si="11">INDEX(networkexistingcost,MATCH(J$7,years,0))</f>
        <v>0</v>
      </c>
      <c r="K45" s="105">
        <f t="shared" si="11"/>
        <v>0</v>
      </c>
      <c r="L45" s="105">
        <f t="shared" si="11"/>
        <v>0</v>
      </c>
      <c r="M45" s="105">
        <f t="shared" si="11"/>
        <v>0</v>
      </c>
      <c r="N45" s="105">
        <f t="shared" si="11"/>
        <v>0</v>
      </c>
      <c r="O45" s="105">
        <f t="shared" si="11"/>
        <v>0</v>
      </c>
      <c r="P45" s="105">
        <f t="shared" si="11"/>
        <v>0</v>
      </c>
      <c r="Q45" s="105">
        <f t="shared" si="11"/>
        <v>0</v>
      </c>
      <c r="R45" s="105">
        <f t="shared" si="11"/>
        <v>0</v>
      </c>
      <c r="S45" s="105">
        <f t="shared" si="11"/>
        <v>0</v>
      </c>
      <c r="T45" s="105">
        <f t="shared" si="11"/>
        <v>0</v>
      </c>
      <c r="U45" s="105">
        <f t="shared" si="11"/>
        <v>0</v>
      </c>
      <c r="V45" s="105">
        <f t="shared" si="11"/>
        <v>0</v>
      </c>
      <c r="W45" s="105">
        <f t="shared" si="11"/>
        <v>0</v>
      </c>
      <c r="X45" s="105">
        <f t="shared" si="11"/>
        <v>0</v>
      </c>
      <c r="Y45" s="105">
        <f t="shared" si="11"/>
        <v>0</v>
      </c>
      <c r="Z45" s="105">
        <f t="shared" si="11"/>
        <v>0</v>
      </c>
      <c r="AA45" s="105">
        <f t="shared" si="11"/>
        <v>0</v>
      </c>
      <c r="AB45" s="105">
        <f t="shared" si="11"/>
        <v>0</v>
      </c>
      <c r="AC45" s="105">
        <f t="shared" si="11"/>
        <v>0</v>
      </c>
      <c r="AD45" s="105">
        <f t="shared" si="11"/>
        <v>0</v>
      </c>
      <c r="AE45" s="105">
        <f t="shared" si="11"/>
        <v>0</v>
      </c>
      <c r="AF45" s="105">
        <f t="shared" si="11"/>
        <v>0</v>
      </c>
      <c r="AG45" s="105">
        <f t="shared" si="11"/>
        <v>0</v>
      </c>
      <c r="AH45" s="105">
        <f t="shared" si="11"/>
        <v>0</v>
      </c>
      <c r="AI45" s="105">
        <f t="shared" si="11"/>
        <v>0</v>
      </c>
      <c r="AJ45" s="105">
        <f t="shared" si="11"/>
        <v>0</v>
      </c>
      <c r="AK45" s="105">
        <f t="shared" si="11"/>
        <v>0</v>
      </c>
      <c r="AL45" s="105">
        <f t="shared" si="11"/>
        <v>0</v>
      </c>
      <c r="AM45" s="105">
        <f t="shared" si="11"/>
        <v>0</v>
      </c>
      <c r="AN45" s="26"/>
      <c r="AO45" s="26"/>
      <c r="AP45" s="26"/>
      <c r="AQ45" s="26"/>
      <c r="AR45" s="26"/>
      <c r="AS45" s="26"/>
      <c r="AT45" s="26"/>
      <c r="AU45" s="26"/>
      <c r="AV45" s="26"/>
      <c r="AW45" s="26"/>
      <c r="AX45" s="26"/>
      <c r="AY45" s="26"/>
      <c r="AZ45" s="26"/>
    </row>
    <row r="46" spans="1:60" s="101" customFormat="1" x14ac:dyDescent="0.5">
      <c r="A46" s="26"/>
      <c r="B46" s="26"/>
      <c r="C46" s="26" t="s">
        <v>149</v>
      </c>
      <c r="D46" s="26" t="s">
        <v>150</v>
      </c>
      <c r="E46" s="26"/>
      <c r="F46" s="26"/>
      <c r="G46" s="26"/>
      <c r="H46" s="105">
        <f>J46+NPV(discountrate,K46:AM46)</f>
        <v>0</v>
      </c>
      <c r="I46" s="26"/>
      <c r="J46" s="105">
        <f>J44*J45</f>
        <v>0</v>
      </c>
      <c r="K46" s="105">
        <f t="shared" ref="K46:AM46" si="12">K44*K45</f>
        <v>0</v>
      </c>
      <c r="L46" s="105">
        <f t="shared" si="12"/>
        <v>0</v>
      </c>
      <c r="M46" s="105">
        <f t="shared" si="12"/>
        <v>0</v>
      </c>
      <c r="N46" s="105">
        <f t="shared" si="12"/>
        <v>0</v>
      </c>
      <c r="O46" s="105">
        <f t="shared" si="12"/>
        <v>0</v>
      </c>
      <c r="P46" s="105">
        <f t="shared" si="12"/>
        <v>0</v>
      </c>
      <c r="Q46" s="105">
        <f t="shared" si="12"/>
        <v>0</v>
      </c>
      <c r="R46" s="105">
        <f t="shared" si="12"/>
        <v>0</v>
      </c>
      <c r="S46" s="105">
        <f t="shared" si="12"/>
        <v>0</v>
      </c>
      <c r="T46" s="105">
        <f t="shared" si="12"/>
        <v>0</v>
      </c>
      <c r="U46" s="105">
        <f t="shared" si="12"/>
        <v>0</v>
      </c>
      <c r="V46" s="105">
        <f t="shared" si="12"/>
        <v>0</v>
      </c>
      <c r="W46" s="105">
        <f t="shared" si="12"/>
        <v>0</v>
      </c>
      <c r="X46" s="105">
        <f t="shared" si="12"/>
        <v>0</v>
      </c>
      <c r="Y46" s="105">
        <f t="shared" si="12"/>
        <v>0</v>
      </c>
      <c r="Z46" s="105">
        <f t="shared" si="12"/>
        <v>0</v>
      </c>
      <c r="AA46" s="105">
        <f t="shared" si="12"/>
        <v>0</v>
      </c>
      <c r="AB46" s="105">
        <f t="shared" si="12"/>
        <v>0</v>
      </c>
      <c r="AC46" s="105">
        <f t="shared" si="12"/>
        <v>0</v>
      </c>
      <c r="AD46" s="105">
        <f t="shared" si="12"/>
        <v>0</v>
      </c>
      <c r="AE46" s="105">
        <f t="shared" si="12"/>
        <v>0</v>
      </c>
      <c r="AF46" s="105">
        <f t="shared" si="12"/>
        <v>0</v>
      </c>
      <c r="AG46" s="105">
        <f t="shared" si="12"/>
        <v>0</v>
      </c>
      <c r="AH46" s="105">
        <f t="shared" si="12"/>
        <v>0</v>
      </c>
      <c r="AI46" s="105">
        <f t="shared" si="12"/>
        <v>0</v>
      </c>
      <c r="AJ46" s="105">
        <f t="shared" si="12"/>
        <v>0</v>
      </c>
      <c r="AK46" s="105">
        <f t="shared" si="12"/>
        <v>0</v>
      </c>
      <c r="AL46" s="105">
        <f t="shared" si="12"/>
        <v>0</v>
      </c>
      <c r="AM46" s="105">
        <f t="shared" si="12"/>
        <v>0</v>
      </c>
      <c r="AN46" s="26"/>
      <c r="AO46" s="26"/>
      <c r="AP46" s="26"/>
      <c r="AQ46" s="26"/>
      <c r="AR46" s="26"/>
      <c r="AS46" s="26"/>
      <c r="AT46" s="26"/>
      <c r="AU46" s="26"/>
      <c r="AV46" s="26"/>
      <c r="AW46" s="26"/>
      <c r="AX46" s="26"/>
      <c r="AY46" s="26"/>
      <c r="AZ46" s="26"/>
    </row>
    <row r="47" spans="1:60" s="101" customFormat="1" x14ac:dyDescent="0.5">
      <c r="A47" s="26"/>
      <c r="B47" s="26"/>
      <c r="C47" s="26"/>
      <c r="D47" s="26"/>
      <c r="E47" s="26"/>
      <c r="F47" s="26"/>
      <c r="G47" s="26"/>
      <c r="H47" s="157"/>
      <c r="I47" s="26"/>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26"/>
      <c r="AO47" s="26"/>
      <c r="AP47" s="26"/>
      <c r="AQ47" s="26"/>
      <c r="AR47" s="26"/>
      <c r="AS47" s="26"/>
      <c r="AT47" s="26"/>
      <c r="AU47" s="26"/>
      <c r="AV47" s="26"/>
      <c r="AW47" s="26"/>
      <c r="AX47" s="26"/>
      <c r="AY47" s="26"/>
      <c r="AZ47" s="26"/>
    </row>
    <row r="48" spans="1:60" x14ac:dyDescent="0.5">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row>
    <row r="49" spans="1:60" ht="19.5" x14ac:dyDescent="0.55000000000000004">
      <c r="A49" s="25"/>
      <c r="C49" s="97" t="s">
        <v>95</v>
      </c>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row>
    <row r="50" spans="1:60" x14ac:dyDescent="0.5">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row>
    <row r="51" spans="1:60" x14ac:dyDescent="0.5">
      <c r="A51" s="25"/>
      <c r="B51" s="25"/>
      <c r="C51" s="98" t="s">
        <v>21</v>
      </c>
      <c r="D51" s="99"/>
      <c r="E51" s="99"/>
      <c r="F51" s="25"/>
      <c r="G51" s="25"/>
      <c r="H51" s="99"/>
      <c r="I51" s="25"/>
      <c r="J51" s="99"/>
      <c r="K51" s="99"/>
      <c r="L51" s="99"/>
      <c r="M51" s="99"/>
      <c r="N51" s="99"/>
      <c r="O51" s="99"/>
      <c r="P51" s="99"/>
      <c r="Q51" s="99"/>
      <c r="R51" s="99"/>
      <c r="S51" s="99"/>
      <c r="T51" s="99"/>
      <c r="U51" s="99"/>
      <c r="V51" s="99"/>
      <c r="W51" s="99"/>
      <c r="X51" s="99"/>
      <c r="Y51" s="99"/>
      <c r="Z51" s="99"/>
      <c r="AA51" s="99"/>
      <c r="AB51" s="99"/>
      <c r="AC51" s="99"/>
      <c r="AD51" s="99"/>
      <c r="AE51" s="99"/>
      <c r="AF51" s="25"/>
      <c r="AG51" s="25"/>
      <c r="AH51" s="25"/>
      <c r="AI51" s="25"/>
      <c r="AJ51" s="25"/>
      <c r="AK51" s="25"/>
      <c r="AL51" s="25"/>
      <c r="AM51" s="25"/>
      <c r="AN51" s="25"/>
      <c r="AO51" s="25"/>
      <c r="AP51" s="25"/>
      <c r="AQ51" s="25"/>
      <c r="AR51" s="25"/>
      <c r="AS51" s="25"/>
      <c r="AT51" s="25"/>
      <c r="AU51" s="25"/>
      <c r="AV51" s="25"/>
      <c r="AW51" s="25"/>
      <c r="AX51" s="25"/>
      <c r="AY51" s="25"/>
      <c r="AZ51" s="25"/>
    </row>
    <row r="52" spans="1:60" x14ac:dyDescent="0.5">
      <c r="A52" s="25"/>
      <c r="B52" s="25"/>
      <c r="C52" s="98" t="s">
        <v>18</v>
      </c>
      <c r="D52" s="98"/>
      <c r="E52" s="98"/>
      <c r="F52" s="25"/>
      <c r="G52" s="25"/>
      <c r="H52" s="99"/>
      <c r="I52" s="25"/>
      <c r="J52" s="107">
        <f t="shared" ref="J52:AM52" si="13">IF(J59&lt;INDEX(tippingpoints,MATCH($B15,tippingpointnames,0),1),0,1)</f>
        <v>1</v>
      </c>
      <c r="K52" s="107">
        <f t="shared" si="13"/>
        <v>1</v>
      </c>
      <c r="L52" s="107">
        <f t="shared" si="13"/>
        <v>1</v>
      </c>
      <c r="M52" s="107">
        <f t="shared" si="13"/>
        <v>1</v>
      </c>
      <c r="N52" s="107">
        <f t="shared" si="13"/>
        <v>1</v>
      </c>
      <c r="O52" s="107">
        <f t="shared" si="13"/>
        <v>1</v>
      </c>
      <c r="P52" s="107">
        <f t="shared" si="13"/>
        <v>1</v>
      </c>
      <c r="Q52" s="107">
        <f t="shared" si="13"/>
        <v>1</v>
      </c>
      <c r="R52" s="107">
        <f t="shared" si="13"/>
        <v>1</v>
      </c>
      <c r="S52" s="107">
        <f t="shared" si="13"/>
        <v>1</v>
      </c>
      <c r="T52" s="107">
        <f t="shared" si="13"/>
        <v>1</v>
      </c>
      <c r="U52" s="107">
        <f t="shared" si="13"/>
        <v>1</v>
      </c>
      <c r="V52" s="107">
        <f t="shared" si="13"/>
        <v>1</v>
      </c>
      <c r="W52" s="107">
        <f t="shared" si="13"/>
        <v>1</v>
      </c>
      <c r="X52" s="107">
        <f t="shared" si="13"/>
        <v>1</v>
      </c>
      <c r="Y52" s="107">
        <f t="shared" si="13"/>
        <v>1</v>
      </c>
      <c r="Z52" s="107">
        <f t="shared" si="13"/>
        <v>1</v>
      </c>
      <c r="AA52" s="107">
        <f t="shared" si="13"/>
        <v>1</v>
      </c>
      <c r="AB52" s="107">
        <f t="shared" si="13"/>
        <v>1</v>
      </c>
      <c r="AC52" s="107">
        <f t="shared" si="13"/>
        <v>1</v>
      </c>
      <c r="AD52" s="107">
        <f t="shared" si="13"/>
        <v>1</v>
      </c>
      <c r="AE52" s="107">
        <f t="shared" si="13"/>
        <v>1</v>
      </c>
      <c r="AF52" s="107">
        <f t="shared" si="13"/>
        <v>1</v>
      </c>
      <c r="AG52" s="107">
        <f t="shared" si="13"/>
        <v>1</v>
      </c>
      <c r="AH52" s="107">
        <f t="shared" si="13"/>
        <v>1</v>
      </c>
      <c r="AI52" s="107">
        <f t="shared" si="13"/>
        <v>1</v>
      </c>
      <c r="AJ52" s="107">
        <f t="shared" si="13"/>
        <v>1</v>
      </c>
      <c r="AK52" s="107">
        <f t="shared" si="13"/>
        <v>1</v>
      </c>
      <c r="AL52" s="107">
        <f t="shared" si="13"/>
        <v>1</v>
      </c>
      <c r="AM52" s="107">
        <f t="shared" si="13"/>
        <v>1</v>
      </c>
      <c r="AN52" s="25"/>
      <c r="AO52" s="25"/>
      <c r="AP52" s="25"/>
      <c r="AQ52" s="25"/>
      <c r="AR52" s="25"/>
      <c r="AS52" s="25"/>
      <c r="AT52" s="25"/>
      <c r="AU52" s="25"/>
      <c r="AV52" s="25"/>
      <c r="AW52" s="25"/>
      <c r="AX52" s="25"/>
      <c r="AY52" s="25"/>
      <c r="AZ52" s="25"/>
    </row>
    <row r="53" spans="1:60" x14ac:dyDescent="0.5">
      <c r="A53" s="25"/>
      <c r="B53" s="25"/>
      <c r="C53" s="98" t="s">
        <v>19</v>
      </c>
      <c r="D53" s="98"/>
      <c r="E53" s="98"/>
      <c r="F53" s="25"/>
      <c r="G53" s="25"/>
      <c r="H53" s="99"/>
      <c r="I53" s="25"/>
      <c r="J53" s="109">
        <f>IF(SUM($J52:J52)=0,0,1)</f>
        <v>1</v>
      </c>
      <c r="K53" s="109">
        <f>IF(SUM($J52:K52)=0,0,1)</f>
        <v>1</v>
      </c>
      <c r="L53" s="109">
        <f>IF(SUM($J52:L52)=0,0,1)</f>
        <v>1</v>
      </c>
      <c r="M53" s="109">
        <f>IF(SUM($J52:M52)=0,0,1)</f>
        <v>1</v>
      </c>
      <c r="N53" s="109">
        <f>IF(SUM($J52:N52)=0,0,1)</f>
        <v>1</v>
      </c>
      <c r="O53" s="109">
        <f>IF(SUM($J52:O52)=0,0,1)</f>
        <v>1</v>
      </c>
      <c r="P53" s="109">
        <f>IF(SUM($J52:P52)=0,0,1)</f>
        <v>1</v>
      </c>
      <c r="Q53" s="109">
        <f>IF(SUM($J52:Q52)=0,0,1)</f>
        <v>1</v>
      </c>
      <c r="R53" s="109">
        <f>IF(SUM($J52:R52)=0,0,1)</f>
        <v>1</v>
      </c>
      <c r="S53" s="109">
        <f>IF(SUM($J52:S52)=0,0,1)</f>
        <v>1</v>
      </c>
      <c r="T53" s="109">
        <f>IF(SUM($J52:T52)=0,0,1)</f>
        <v>1</v>
      </c>
      <c r="U53" s="109">
        <f>IF(SUM($J52:U52)=0,0,1)</f>
        <v>1</v>
      </c>
      <c r="V53" s="109">
        <f>IF(SUM($J52:V52)=0,0,1)</f>
        <v>1</v>
      </c>
      <c r="W53" s="109">
        <f>IF(SUM($J52:W52)=0,0,1)</f>
        <v>1</v>
      </c>
      <c r="X53" s="109">
        <f>IF(SUM($J52:X52)=0,0,1)</f>
        <v>1</v>
      </c>
      <c r="Y53" s="109">
        <f>IF(SUM($J52:Y52)=0,0,1)</f>
        <v>1</v>
      </c>
      <c r="Z53" s="109">
        <f>IF(SUM($J52:Z52)=0,0,1)</f>
        <v>1</v>
      </c>
      <c r="AA53" s="109">
        <f>IF(SUM($J52:AA52)=0,0,1)</f>
        <v>1</v>
      </c>
      <c r="AB53" s="109">
        <f>IF(SUM($J52:AB52)=0,0,1)</f>
        <v>1</v>
      </c>
      <c r="AC53" s="109">
        <f>IF(SUM($J52:AC52)=0,0,1)</f>
        <v>1</v>
      </c>
      <c r="AD53" s="109">
        <f>IF(SUM($J52:AD52)=0,0,1)</f>
        <v>1</v>
      </c>
      <c r="AE53" s="109">
        <f>IF(SUM($J52:AE52)=0,0,1)</f>
        <v>1</v>
      </c>
      <c r="AF53" s="109">
        <f>IF(SUM($J52:AF52)=0,0,1)</f>
        <v>1</v>
      </c>
      <c r="AG53" s="109">
        <f>IF(SUM($J52:AG52)=0,0,1)</f>
        <v>1</v>
      </c>
      <c r="AH53" s="109">
        <f>IF(SUM($J52:AH52)=0,0,1)</f>
        <v>1</v>
      </c>
      <c r="AI53" s="109">
        <f>IF(SUM($J52:AI52)=0,0,1)</f>
        <v>1</v>
      </c>
      <c r="AJ53" s="109">
        <f>IF(SUM($J52:AJ52)=0,0,1)</f>
        <v>1</v>
      </c>
      <c r="AK53" s="109">
        <f>IF(SUM($J52:AK52)=0,0,1)</f>
        <v>1</v>
      </c>
      <c r="AL53" s="109">
        <f>IF(SUM($J52:AL52)=0,0,1)</f>
        <v>1</v>
      </c>
      <c r="AM53" s="109">
        <f>IF(SUM($J52:AM52)=0,0,1)</f>
        <v>1</v>
      </c>
      <c r="AN53" s="25"/>
      <c r="AO53" s="25"/>
      <c r="AP53" s="25"/>
      <c r="AQ53" s="25"/>
      <c r="AR53" s="25"/>
      <c r="AS53" s="25"/>
      <c r="AT53" s="25"/>
      <c r="AU53" s="25"/>
      <c r="AV53" s="25"/>
      <c r="AW53" s="25"/>
      <c r="AX53" s="25"/>
      <c r="AY53" s="25"/>
      <c r="AZ53" s="25"/>
    </row>
    <row r="54" spans="1:60" x14ac:dyDescent="0.5">
      <c r="A54" s="25"/>
      <c r="B54" s="25"/>
      <c r="C54" s="98" t="s">
        <v>20</v>
      </c>
      <c r="D54" s="98"/>
      <c r="E54" s="98"/>
      <c r="F54" s="25"/>
      <c r="G54" s="25"/>
      <c r="H54" s="99"/>
      <c r="I54" s="25"/>
      <c r="J54" s="109">
        <f>IF($AM53=0,0,IF(AND(J53=0,J52=0),K54-1,0))</f>
        <v>0</v>
      </c>
      <c r="K54" s="109">
        <f t="shared" ref="K54:AM54" si="14">IF($AM53=0,0,IF(AND(K53=0,K52=0),L54-1,0))</f>
        <v>0</v>
      </c>
      <c r="L54" s="109">
        <f t="shared" si="14"/>
        <v>0</v>
      </c>
      <c r="M54" s="109">
        <f t="shared" si="14"/>
        <v>0</v>
      </c>
      <c r="N54" s="109">
        <f t="shared" si="14"/>
        <v>0</v>
      </c>
      <c r="O54" s="109">
        <f t="shared" si="14"/>
        <v>0</v>
      </c>
      <c r="P54" s="109">
        <f t="shared" si="14"/>
        <v>0</v>
      </c>
      <c r="Q54" s="109">
        <f t="shared" si="14"/>
        <v>0</v>
      </c>
      <c r="R54" s="109">
        <f t="shared" si="14"/>
        <v>0</v>
      </c>
      <c r="S54" s="109">
        <f t="shared" si="14"/>
        <v>0</v>
      </c>
      <c r="T54" s="109">
        <f t="shared" si="14"/>
        <v>0</v>
      </c>
      <c r="U54" s="109">
        <f t="shared" si="14"/>
        <v>0</v>
      </c>
      <c r="V54" s="109">
        <f t="shared" si="14"/>
        <v>0</v>
      </c>
      <c r="W54" s="109">
        <f t="shared" si="14"/>
        <v>0</v>
      </c>
      <c r="X54" s="109">
        <f t="shared" si="14"/>
        <v>0</v>
      </c>
      <c r="Y54" s="109">
        <f t="shared" si="14"/>
        <v>0</v>
      </c>
      <c r="Z54" s="109">
        <f t="shared" si="14"/>
        <v>0</v>
      </c>
      <c r="AA54" s="109">
        <f t="shared" si="14"/>
        <v>0</v>
      </c>
      <c r="AB54" s="109">
        <f t="shared" si="14"/>
        <v>0</v>
      </c>
      <c r="AC54" s="109">
        <f t="shared" si="14"/>
        <v>0</v>
      </c>
      <c r="AD54" s="109">
        <f t="shared" si="14"/>
        <v>0</v>
      </c>
      <c r="AE54" s="109">
        <f t="shared" si="14"/>
        <v>0</v>
      </c>
      <c r="AF54" s="109">
        <f t="shared" si="14"/>
        <v>0</v>
      </c>
      <c r="AG54" s="109">
        <f t="shared" si="14"/>
        <v>0</v>
      </c>
      <c r="AH54" s="109">
        <f t="shared" si="14"/>
        <v>0</v>
      </c>
      <c r="AI54" s="109">
        <f t="shared" si="14"/>
        <v>0</v>
      </c>
      <c r="AJ54" s="109">
        <f t="shared" si="14"/>
        <v>0</v>
      </c>
      <c r="AK54" s="109">
        <f t="shared" si="14"/>
        <v>0</v>
      </c>
      <c r="AL54" s="109">
        <f t="shared" si="14"/>
        <v>0</v>
      </c>
      <c r="AM54" s="109">
        <f t="shared" si="14"/>
        <v>0</v>
      </c>
      <c r="AN54" s="25"/>
      <c r="AO54" s="25"/>
      <c r="AP54" s="25"/>
      <c r="AQ54" s="25"/>
      <c r="AR54" s="25"/>
      <c r="AS54" s="25"/>
      <c r="AT54" s="25"/>
      <c r="AU54" s="25"/>
      <c r="AV54" s="25"/>
      <c r="AW54" s="25"/>
      <c r="AX54" s="25"/>
      <c r="AY54" s="25"/>
      <c r="AZ54" s="25"/>
    </row>
    <row r="55" spans="1:60" x14ac:dyDescent="0.5">
      <c r="A55" s="25"/>
      <c r="B55" s="25"/>
      <c r="C55" s="98" t="s">
        <v>118</v>
      </c>
      <c r="D55" s="98"/>
      <c r="E55" s="98"/>
      <c r="F55" s="108"/>
      <c r="G55" s="98"/>
      <c r="H55" s="99"/>
      <c r="I55" s="99"/>
      <c r="J55" s="109">
        <f t="shared" ref="J55:AM55" si="15">IF(ABS(J54)=INDEX(leadtimes,MATCH($B15,assetnames,0),1),1,0)</f>
        <v>1</v>
      </c>
      <c r="K55" s="109">
        <f t="shared" si="15"/>
        <v>1</v>
      </c>
      <c r="L55" s="109">
        <f t="shared" si="15"/>
        <v>1</v>
      </c>
      <c r="M55" s="109">
        <f t="shared" si="15"/>
        <v>1</v>
      </c>
      <c r="N55" s="109">
        <f t="shared" si="15"/>
        <v>1</v>
      </c>
      <c r="O55" s="109">
        <f t="shared" si="15"/>
        <v>1</v>
      </c>
      <c r="P55" s="109">
        <f t="shared" si="15"/>
        <v>1</v>
      </c>
      <c r="Q55" s="109">
        <f t="shared" si="15"/>
        <v>1</v>
      </c>
      <c r="R55" s="109">
        <f t="shared" si="15"/>
        <v>1</v>
      </c>
      <c r="S55" s="109">
        <f t="shared" si="15"/>
        <v>1</v>
      </c>
      <c r="T55" s="109">
        <f t="shared" si="15"/>
        <v>1</v>
      </c>
      <c r="U55" s="109">
        <f t="shared" si="15"/>
        <v>1</v>
      </c>
      <c r="V55" s="109">
        <f t="shared" si="15"/>
        <v>1</v>
      </c>
      <c r="W55" s="109">
        <f t="shared" si="15"/>
        <v>1</v>
      </c>
      <c r="X55" s="109">
        <f t="shared" si="15"/>
        <v>1</v>
      </c>
      <c r="Y55" s="109">
        <f t="shared" si="15"/>
        <v>1</v>
      </c>
      <c r="Z55" s="109">
        <f t="shared" si="15"/>
        <v>1</v>
      </c>
      <c r="AA55" s="109">
        <f t="shared" si="15"/>
        <v>1</v>
      </c>
      <c r="AB55" s="109">
        <f t="shared" si="15"/>
        <v>1</v>
      </c>
      <c r="AC55" s="109">
        <f t="shared" si="15"/>
        <v>1</v>
      </c>
      <c r="AD55" s="109">
        <f t="shared" si="15"/>
        <v>1</v>
      </c>
      <c r="AE55" s="109">
        <f t="shared" si="15"/>
        <v>1</v>
      </c>
      <c r="AF55" s="109">
        <f t="shared" si="15"/>
        <v>1</v>
      </c>
      <c r="AG55" s="109">
        <f t="shared" si="15"/>
        <v>1</v>
      </c>
      <c r="AH55" s="109">
        <f t="shared" si="15"/>
        <v>1</v>
      </c>
      <c r="AI55" s="109">
        <f t="shared" si="15"/>
        <v>1</v>
      </c>
      <c r="AJ55" s="109">
        <f t="shared" si="15"/>
        <v>1</v>
      </c>
      <c r="AK55" s="109">
        <f t="shared" si="15"/>
        <v>1</v>
      </c>
      <c r="AL55" s="109">
        <f t="shared" si="15"/>
        <v>1</v>
      </c>
      <c r="AM55" s="109">
        <f t="shared" si="15"/>
        <v>1</v>
      </c>
      <c r="AN55" s="109"/>
      <c r="AO55" s="109"/>
      <c r="AP55" s="109"/>
      <c r="AQ55" s="109"/>
      <c r="AR55" s="109"/>
      <c r="AS55" s="109"/>
      <c r="AT55" s="109"/>
      <c r="AU55" s="109"/>
      <c r="AV55" s="109"/>
      <c r="AW55" s="109"/>
      <c r="AX55" s="109"/>
      <c r="AY55" s="109"/>
      <c r="AZ55" s="109"/>
      <c r="BA55" s="109"/>
      <c r="BB55" s="109"/>
      <c r="BC55" s="109"/>
      <c r="BD55" s="109"/>
      <c r="BE55" s="100"/>
      <c r="BF55" s="100"/>
      <c r="BG55" s="100"/>
      <c r="BH55" s="100"/>
    </row>
    <row r="56" spans="1:60" x14ac:dyDescent="0.5">
      <c r="A56" s="25"/>
      <c r="B56" s="25"/>
      <c r="C56" s="98" t="s">
        <v>119</v>
      </c>
      <c r="D56" s="98"/>
      <c r="E56" s="98"/>
      <c r="F56" s="108"/>
      <c r="G56" s="98"/>
      <c r="H56" s="99"/>
      <c r="I56" s="99"/>
      <c r="J56" s="109">
        <f>IF(SUM($J55:J55)=1,1,0)+I56</f>
        <v>1</v>
      </c>
      <c r="K56" s="109">
        <f>IF(SUM($J55:K55)=1,1,0)+J56</f>
        <v>1</v>
      </c>
      <c r="L56" s="109">
        <f>IF(SUM($J55:L55)=1,1,0)+K56</f>
        <v>1</v>
      </c>
      <c r="M56" s="109">
        <f>IF(SUM($J55:M55)=1,1,0)+L56</f>
        <v>1</v>
      </c>
      <c r="N56" s="109">
        <f>IF(SUM($J55:N55)=1,1,0)+M56</f>
        <v>1</v>
      </c>
      <c r="O56" s="109">
        <f>IF(SUM($J55:O55)=1,1,0)+N56</f>
        <v>1</v>
      </c>
      <c r="P56" s="109">
        <f>IF(SUM($J55:P55)=1,1,0)+O56</f>
        <v>1</v>
      </c>
      <c r="Q56" s="109">
        <f>IF(SUM($J55:Q55)=1,1,0)+P56</f>
        <v>1</v>
      </c>
      <c r="R56" s="109">
        <f>IF(SUM($J55:R55)=1,1,0)+Q56</f>
        <v>1</v>
      </c>
      <c r="S56" s="109">
        <f>IF(SUM($J55:S55)=1,1,0)+R56</f>
        <v>1</v>
      </c>
      <c r="T56" s="109">
        <f>IF(SUM($J55:T55)=1,1,0)+S56</f>
        <v>1</v>
      </c>
      <c r="U56" s="109">
        <f>IF(SUM($J55:U55)=1,1,0)+T56</f>
        <v>1</v>
      </c>
      <c r="V56" s="109">
        <f>IF(SUM($J55:V55)=1,1,0)+U56</f>
        <v>1</v>
      </c>
      <c r="W56" s="109">
        <f>IF(SUM($J55:W55)=1,1,0)+V56</f>
        <v>1</v>
      </c>
      <c r="X56" s="109">
        <f>IF(SUM($J55:X55)=1,1,0)+W56</f>
        <v>1</v>
      </c>
      <c r="Y56" s="109">
        <f>IF(SUM($J55:Y55)=1,1,0)+X56</f>
        <v>1</v>
      </c>
      <c r="Z56" s="109">
        <f>IF(SUM($J55:Z55)=1,1,0)+Y56</f>
        <v>1</v>
      </c>
      <c r="AA56" s="109">
        <f>IF(SUM($J55:AA55)=1,1,0)+Z56</f>
        <v>1</v>
      </c>
      <c r="AB56" s="109">
        <f>IF(SUM($J55:AB55)=1,1,0)+AA56</f>
        <v>1</v>
      </c>
      <c r="AC56" s="109">
        <f>IF(SUM($J55:AC55)=1,1,0)+AB56</f>
        <v>1</v>
      </c>
      <c r="AD56" s="109">
        <f>IF(SUM($J55:AD55)=1,1,0)+AC56</f>
        <v>1</v>
      </c>
      <c r="AE56" s="109">
        <f>IF(SUM($J55:AE55)=1,1,0)+AD56</f>
        <v>1</v>
      </c>
      <c r="AF56" s="109">
        <f>IF(SUM($J55:AF55)=1,1,0)+AE56</f>
        <v>1</v>
      </c>
      <c r="AG56" s="109">
        <f>IF(SUM($J55:AG55)=1,1,0)+AF56</f>
        <v>1</v>
      </c>
      <c r="AH56" s="109">
        <f>IF(SUM($J55:AH55)=1,1,0)+AG56</f>
        <v>1</v>
      </c>
      <c r="AI56" s="109">
        <f>IF(SUM($J55:AI55)=1,1,0)+AH56</f>
        <v>1</v>
      </c>
      <c r="AJ56" s="109">
        <f>IF(SUM($J55:AJ55)=1,1,0)+AI56</f>
        <v>1</v>
      </c>
      <c r="AK56" s="109">
        <f>IF(SUM($J55:AK55)=1,1,0)+AJ56</f>
        <v>1</v>
      </c>
      <c r="AL56" s="109">
        <f>IF(SUM($J55:AL55)=1,1,0)+AK56</f>
        <v>1</v>
      </c>
      <c r="AM56" s="109">
        <f>IF(SUM($J55:AM55)=1,1,0)+AL56</f>
        <v>1</v>
      </c>
      <c r="AN56" s="109"/>
      <c r="AO56" s="109"/>
      <c r="AP56" s="109"/>
      <c r="AQ56" s="109"/>
      <c r="AR56" s="109"/>
      <c r="AS56" s="109"/>
      <c r="AT56" s="109"/>
      <c r="AU56" s="109"/>
      <c r="AV56" s="109"/>
      <c r="AW56" s="109"/>
      <c r="AX56" s="109"/>
      <c r="AY56" s="109"/>
      <c r="AZ56" s="109"/>
      <c r="BA56" s="109"/>
      <c r="BB56" s="109"/>
      <c r="BC56" s="109"/>
      <c r="BD56" s="109"/>
      <c r="BE56" s="100"/>
      <c r="BF56" s="100"/>
      <c r="BG56" s="100"/>
      <c r="BH56" s="100"/>
    </row>
    <row r="57" spans="1:60" ht="15.65" customHeight="1" x14ac:dyDescent="0.5">
      <c r="A57" s="25"/>
      <c r="B57" s="25"/>
      <c r="C57" s="98" t="s">
        <v>117</v>
      </c>
      <c r="D57" s="99"/>
      <c r="E57" s="99"/>
      <c r="F57" s="106"/>
      <c r="G57" s="99"/>
      <c r="H57" s="99"/>
      <c r="I57" s="99"/>
      <c r="J57" s="107">
        <f>SUM($J52:J52)</f>
        <v>1</v>
      </c>
      <c r="K57" s="107">
        <f>SUM($J52:K52)</f>
        <v>2</v>
      </c>
      <c r="L57" s="107">
        <f>SUM($J52:L52)</f>
        <v>3</v>
      </c>
      <c r="M57" s="107">
        <f>SUM($J52:M52)</f>
        <v>4</v>
      </c>
      <c r="N57" s="107">
        <f>SUM($J52:N52)</f>
        <v>5</v>
      </c>
      <c r="O57" s="107">
        <f>SUM($J52:O52)</f>
        <v>6</v>
      </c>
      <c r="P57" s="107">
        <f>SUM($J52:P52)</f>
        <v>7</v>
      </c>
      <c r="Q57" s="107">
        <f>SUM($J52:Q52)</f>
        <v>8</v>
      </c>
      <c r="R57" s="107">
        <f>SUM($J52:R52)</f>
        <v>9</v>
      </c>
      <c r="S57" s="107">
        <f>SUM($J52:S52)</f>
        <v>10</v>
      </c>
      <c r="T57" s="107">
        <f>SUM($J52:T52)</f>
        <v>11</v>
      </c>
      <c r="U57" s="107">
        <f>SUM($J52:U52)</f>
        <v>12</v>
      </c>
      <c r="V57" s="107">
        <f>SUM($J52:V52)</f>
        <v>13</v>
      </c>
      <c r="W57" s="107">
        <f>SUM($J52:W52)</f>
        <v>14</v>
      </c>
      <c r="X57" s="107">
        <f>SUM($J52:X52)</f>
        <v>15</v>
      </c>
      <c r="Y57" s="107">
        <f>SUM($J52:Y52)</f>
        <v>16</v>
      </c>
      <c r="Z57" s="107">
        <f>SUM($J52:Z52)</f>
        <v>17</v>
      </c>
      <c r="AA57" s="107">
        <f>SUM($J52:AA52)</f>
        <v>18</v>
      </c>
      <c r="AB57" s="107">
        <f>SUM($J52:AB52)</f>
        <v>19</v>
      </c>
      <c r="AC57" s="107">
        <f>SUM($J52:AC52)</f>
        <v>20</v>
      </c>
      <c r="AD57" s="107">
        <f>SUM($J52:AD52)</f>
        <v>21</v>
      </c>
      <c r="AE57" s="107">
        <f>SUM($J52:AE52)</f>
        <v>22</v>
      </c>
      <c r="AF57" s="107">
        <f>SUM($J52:AF52)</f>
        <v>23</v>
      </c>
      <c r="AG57" s="107">
        <f>SUM($J52:AG52)</f>
        <v>24</v>
      </c>
      <c r="AH57" s="107">
        <f>SUM($J52:AH52)</f>
        <v>25</v>
      </c>
      <c r="AI57" s="107">
        <f>SUM($J52:AI52)</f>
        <v>26</v>
      </c>
      <c r="AJ57" s="107">
        <f>SUM($J52:AJ52)</f>
        <v>27</v>
      </c>
      <c r="AK57" s="107">
        <f>SUM($J52:AK52)</f>
        <v>28</v>
      </c>
      <c r="AL57" s="107">
        <f>SUM($J52:AL52)</f>
        <v>29</v>
      </c>
      <c r="AM57" s="107">
        <f>SUM($J52:AM52)</f>
        <v>30</v>
      </c>
      <c r="AN57" s="107"/>
      <c r="AO57" s="107"/>
      <c r="AP57" s="107"/>
      <c r="AQ57" s="107"/>
      <c r="AR57" s="107"/>
      <c r="AS57" s="107"/>
      <c r="AT57" s="107"/>
      <c r="AU57" s="107"/>
      <c r="AV57" s="107"/>
      <c r="AW57" s="107"/>
      <c r="AX57" s="107"/>
      <c r="AY57" s="107"/>
      <c r="AZ57" s="107"/>
      <c r="BA57" s="107"/>
      <c r="BB57" s="107"/>
      <c r="BC57" s="107"/>
      <c r="BD57" s="107"/>
      <c r="BE57" s="107"/>
      <c r="BF57" s="107"/>
      <c r="BG57" s="107"/>
      <c r="BH57" s="107"/>
    </row>
    <row r="58" spans="1:60" x14ac:dyDescent="0.5">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row>
    <row r="59" spans="1:60" x14ac:dyDescent="0.5">
      <c r="A59" s="25"/>
      <c r="B59" s="25"/>
      <c r="C59" s="25" t="s">
        <v>95</v>
      </c>
      <c r="D59" s="25" t="s">
        <v>1</v>
      </c>
      <c r="E59" s="25"/>
      <c r="F59" s="25"/>
      <c r="G59" s="25"/>
      <c r="H59" s="105">
        <f>J59+NPV(discountrate,K59:AK59)</f>
        <v>0</v>
      </c>
      <c r="I59" s="25"/>
      <c r="J59" s="105">
        <f t="shared" ref="J59:AM59" si="16">INDEX(networkvolumes,MATCH($C59,volumesnames,0),MATCH(J$7,years,0))</f>
        <v>0</v>
      </c>
      <c r="K59" s="105">
        <f t="shared" si="16"/>
        <v>0</v>
      </c>
      <c r="L59" s="105">
        <f t="shared" si="16"/>
        <v>0</v>
      </c>
      <c r="M59" s="105">
        <f t="shared" si="16"/>
        <v>0</v>
      </c>
      <c r="N59" s="105">
        <f t="shared" si="16"/>
        <v>0</v>
      </c>
      <c r="O59" s="105">
        <f t="shared" si="16"/>
        <v>0</v>
      </c>
      <c r="P59" s="105">
        <f t="shared" si="16"/>
        <v>0</v>
      </c>
      <c r="Q59" s="105">
        <f t="shared" si="16"/>
        <v>0</v>
      </c>
      <c r="R59" s="105">
        <f t="shared" si="16"/>
        <v>0</v>
      </c>
      <c r="S59" s="105">
        <f t="shared" si="16"/>
        <v>0</v>
      </c>
      <c r="T59" s="105">
        <f t="shared" si="16"/>
        <v>0</v>
      </c>
      <c r="U59" s="105">
        <f t="shared" si="16"/>
        <v>0</v>
      </c>
      <c r="V59" s="105">
        <f t="shared" si="16"/>
        <v>0</v>
      </c>
      <c r="W59" s="105">
        <f t="shared" si="16"/>
        <v>0</v>
      </c>
      <c r="X59" s="105">
        <f t="shared" si="16"/>
        <v>0</v>
      </c>
      <c r="Y59" s="105">
        <f t="shared" si="16"/>
        <v>0</v>
      </c>
      <c r="Z59" s="105">
        <f t="shared" si="16"/>
        <v>0</v>
      </c>
      <c r="AA59" s="105">
        <f t="shared" si="16"/>
        <v>0</v>
      </c>
      <c r="AB59" s="105">
        <f t="shared" si="16"/>
        <v>0</v>
      </c>
      <c r="AC59" s="105">
        <f t="shared" si="16"/>
        <v>0</v>
      </c>
      <c r="AD59" s="105">
        <f t="shared" si="16"/>
        <v>0</v>
      </c>
      <c r="AE59" s="105">
        <f t="shared" si="16"/>
        <v>0</v>
      </c>
      <c r="AF59" s="105">
        <f t="shared" si="16"/>
        <v>0</v>
      </c>
      <c r="AG59" s="105">
        <f t="shared" si="16"/>
        <v>0</v>
      </c>
      <c r="AH59" s="105">
        <f t="shared" si="16"/>
        <v>0</v>
      </c>
      <c r="AI59" s="105">
        <f t="shared" si="16"/>
        <v>0</v>
      </c>
      <c r="AJ59" s="105">
        <f t="shared" si="16"/>
        <v>0</v>
      </c>
      <c r="AK59" s="105">
        <f t="shared" si="16"/>
        <v>0</v>
      </c>
      <c r="AL59" s="105">
        <f t="shared" si="16"/>
        <v>0</v>
      </c>
      <c r="AM59" s="105">
        <f t="shared" si="16"/>
        <v>0</v>
      </c>
      <c r="AN59" s="25"/>
      <c r="AO59" s="25"/>
      <c r="AP59" s="25"/>
      <c r="AQ59" s="25"/>
      <c r="AR59" s="25"/>
      <c r="AS59" s="25"/>
      <c r="AT59" s="25"/>
      <c r="AU59" s="25"/>
      <c r="AV59" s="25"/>
      <c r="AW59" s="25"/>
      <c r="AX59" s="25"/>
      <c r="AY59" s="25"/>
      <c r="AZ59" s="25"/>
    </row>
    <row r="60" spans="1:60" x14ac:dyDescent="0.5">
      <c r="A60" s="25"/>
      <c r="B60" s="25"/>
      <c r="C60" s="25" t="s">
        <v>147</v>
      </c>
      <c r="D60" s="25"/>
      <c r="E60" s="25"/>
      <c r="F60" s="106"/>
      <c r="G60" s="25"/>
      <c r="H60" s="25"/>
      <c r="I60" s="25"/>
      <c r="J60" s="105">
        <f>J69</f>
        <v>0</v>
      </c>
      <c r="K60" s="105">
        <f t="shared" ref="K60:AM60" si="17">K69</f>
        <v>0</v>
      </c>
      <c r="L60" s="105">
        <f t="shared" si="17"/>
        <v>0</v>
      </c>
      <c r="M60" s="105">
        <f t="shared" si="17"/>
        <v>0</v>
      </c>
      <c r="N60" s="105">
        <f t="shared" si="17"/>
        <v>0</v>
      </c>
      <c r="O60" s="105">
        <f t="shared" si="17"/>
        <v>0</v>
      </c>
      <c r="P60" s="105">
        <f t="shared" si="17"/>
        <v>0</v>
      </c>
      <c r="Q60" s="105">
        <f t="shared" si="17"/>
        <v>0</v>
      </c>
      <c r="R60" s="105">
        <f t="shared" si="17"/>
        <v>0</v>
      </c>
      <c r="S60" s="105">
        <f t="shared" si="17"/>
        <v>0</v>
      </c>
      <c r="T60" s="105">
        <f t="shared" si="17"/>
        <v>0</v>
      </c>
      <c r="U60" s="105">
        <f t="shared" si="17"/>
        <v>0</v>
      </c>
      <c r="V60" s="105">
        <f t="shared" si="17"/>
        <v>0</v>
      </c>
      <c r="W60" s="105">
        <f t="shared" si="17"/>
        <v>0</v>
      </c>
      <c r="X60" s="105">
        <f t="shared" si="17"/>
        <v>0</v>
      </c>
      <c r="Y60" s="105">
        <f t="shared" si="17"/>
        <v>0</v>
      </c>
      <c r="Z60" s="105">
        <f t="shared" si="17"/>
        <v>0</v>
      </c>
      <c r="AA60" s="105">
        <f t="shared" si="17"/>
        <v>0</v>
      </c>
      <c r="AB60" s="105">
        <f t="shared" si="17"/>
        <v>0</v>
      </c>
      <c r="AC60" s="105">
        <f t="shared" si="17"/>
        <v>0</v>
      </c>
      <c r="AD60" s="105">
        <f t="shared" si="17"/>
        <v>0</v>
      </c>
      <c r="AE60" s="105">
        <f t="shared" si="17"/>
        <v>0</v>
      </c>
      <c r="AF60" s="105">
        <f t="shared" si="17"/>
        <v>0</v>
      </c>
      <c r="AG60" s="105">
        <f t="shared" si="17"/>
        <v>0</v>
      </c>
      <c r="AH60" s="105">
        <f t="shared" si="17"/>
        <v>0</v>
      </c>
      <c r="AI60" s="105">
        <f t="shared" si="17"/>
        <v>0</v>
      </c>
      <c r="AJ60" s="105">
        <f t="shared" si="17"/>
        <v>0</v>
      </c>
      <c r="AK60" s="105">
        <f t="shared" si="17"/>
        <v>0</v>
      </c>
      <c r="AL60" s="105">
        <f t="shared" si="17"/>
        <v>0</v>
      </c>
      <c r="AM60" s="105">
        <f t="shared" si="17"/>
        <v>0</v>
      </c>
      <c r="AN60" s="25"/>
      <c r="AO60" s="25"/>
      <c r="AP60" s="25"/>
      <c r="AQ60" s="25"/>
      <c r="AR60" s="25"/>
      <c r="AS60" s="25"/>
      <c r="AT60" s="25"/>
      <c r="AU60" s="25"/>
      <c r="AV60" s="25"/>
      <c r="AW60" s="25"/>
      <c r="AX60" s="25"/>
      <c r="AY60" s="25"/>
      <c r="AZ60" s="25"/>
    </row>
    <row r="61" spans="1:60" x14ac:dyDescent="0.5">
      <c r="A61" s="25"/>
      <c r="B61" s="25"/>
      <c r="C61" s="25" t="s">
        <v>23</v>
      </c>
      <c r="D61" s="25" t="s">
        <v>131</v>
      </c>
      <c r="E61" s="25"/>
      <c r="F61" s="106" t="s">
        <v>129</v>
      </c>
      <c r="G61" s="25"/>
      <c r="H61" s="25"/>
      <c r="I61" s="25"/>
      <c r="J61" s="104" cm="1">
        <f t="array" ref="J61">IF(J56=0,0,INDEX(capex,MATCH($B15,assetnames,0),J56))</f>
        <v>0</v>
      </c>
      <c r="K61" s="104" cm="1">
        <f t="array" ref="K61">IF(K56=0,0,INDEX(capex,MATCH($B15,assetnames,0),K56))</f>
        <v>0</v>
      </c>
      <c r="L61" s="104" cm="1">
        <f t="array" ref="L61">IF(L56=0,0,INDEX(capex,MATCH($B15,assetnames,0),L56))</f>
        <v>0</v>
      </c>
      <c r="M61" s="104" cm="1">
        <f t="array" ref="M61">IF(M56=0,0,INDEX(capex,MATCH($B15,assetnames,0),M56))</f>
        <v>0</v>
      </c>
      <c r="N61" s="104" cm="1">
        <f t="array" ref="N61">IF(N56=0,0,INDEX(capex,MATCH($B15,assetnames,0),N56))</f>
        <v>0</v>
      </c>
      <c r="O61" s="104" cm="1">
        <f t="array" ref="O61">IF(O56=0,0,INDEX(capex,MATCH($B15,assetnames,0),O56))</f>
        <v>0</v>
      </c>
      <c r="P61" s="104" cm="1">
        <f t="array" ref="P61">IF(P56=0,0,INDEX(capex,MATCH($B15,assetnames,0),P56))</f>
        <v>0</v>
      </c>
      <c r="Q61" s="104" cm="1">
        <f t="array" ref="Q61">IF(Q56=0,0,INDEX(capex,MATCH($B15,assetnames,0),Q56))</f>
        <v>0</v>
      </c>
      <c r="R61" s="104" cm="1">
        <f t="array" ref="R61">IF(R56=0,0,INDEX(capex,MATCH($B15,assetnames,0),R56))</f>
        <v>0</v>
      </c>
      <c r="S61" s="104" cm="1">
        <f t="array" ref="S61">IF(S56=0,0,INDEX(capex,MATCH($B15,assetnames,0),S56))</f>
        <v>0</v>
      </c>
      <c r="T61" s="104" cm="1">
        <f t="array" ref="T61">IF(T56=0,0,INDEX(capex,MATCH($B15,assetnames,0),T56))</f>
        <v>0</v>
      </c>
      <c r="U61" s="104" cm="1">
        <f t="array" ref="U61">IF(U56=0,0,INDEX(capex,MATCH($B15,assetnames,0),U56))</f>
        <v>0</v>
      </c>
      <c r="V61" s="104" cm="1">
        <f t="array" ref="V61">IF(V56=0,0,INDEX(capex,MATCH($B15,assetnames,0),V56))</f>
        <v>0</v>
      </c>
      <c r="W61" s="104" cm="1">
        <f t="array" ref="W61">IF(W56=0,0,INDEX(capex,MATCH($B15,assetnames,0),W56))</f>
        <v>0</v>
      </c>
      <c r="X61" s="104" cm="1">
        <f t="array" ref="X61">IF(X56=0,0,INDEX(capex,MATCH($B15,assetnames,0),X56))</f>
        <v>0</v>
      </c>
      <c r="Y61" s="104" cm="1">
        <f t="array" ref="Y61">IF(Y56=0,0,INDEX(capex,MATCH($B15,assetnames,0),Y56))</f>
        <v>0</v>
      </c>
      <c r="Z61" s="104" cm="1">
        <f t="array" ref="Z61">IF(Z56=0,0,INDEX(capex,MATCH($B15,assetnames,0),Z56))</f>
        <v>0</v>
      </c>
      <c r="AA61" s="104" cm="1">
        <f t="array" ref="AA61">IF(AA56=0,0,INDEX(capex,MATCH($B15,assetnames,0),AA56))</f>
        <v>0</v>
      </c>
      <c r="AB61" s="104" cm="1">
        <f t="array" ref="AB61">IF(AB56=0,0,INDEX(capex,MATCH($B15,assetnames,0),AB56))</f>
        <v>0</v>
      </c>
      <c r="AC61" s="104" cm="1">
        <f t="array" ref="AC61">IF(AC56=0,0,INDEX(capex,MATCH($B15,assetnames,0),AC56))</f>
        <v>0</v>
      </c>
      <c r="AD61" s="104" cm="1">
        <f t="array" ref="AD61">IF(AD56=0,0,INDEX(capex,MATCH($B15,assetnames,0),AD56))</f>
        <v>0</v>
      </c>
      <c r="AE61" s="104" cm="1">
        <f t="array" ref="AE61">IF(AE56=0,0,INDEX(capex,MATCH($B15,assetnames,0),AE56))</f>
        <v>0</v>
      </c>
      <c r="AF61" s="104" cm="1">
        <f t="array" ref="AF61">IF(AF56=0,0,INDEX(capex,MATCH($B15,assetnames,0),AF56))</f>
        <v>0</v>
      </c>
      <c r="AG61" s="104" cm="1">
        <f t="array" ref="AG61">IF(AG56=0,0,INDEX(capex,MATCH($B15,assetnames,0),AG56))</f>
        <v>0</v>
      </c>
      <c r="AH61" s="104" cm="1">
        <f t="array" ref="AH61">IF(AH56=0,0,INDEX(capex,MATCH($B15,assetnames,0),AH56))</f>
        <v>0</v>
      </c>
      <c r="AI61" s="104" cm="1">
        <f t="array" ref="AI61">IF(AI56=0,0,INDEX(capex,MATCH($B15,assetnames,0),AI56))</f>
        <v>0</v>
      </c>
      <c r="AJ61" s="104" cm="1">
        <f t="array" ref="AJ61">IF(AJ56=0,0,INDEX(capex,MATCH($B15,assetnames,0),AJ56))</f>
        <v>0</v>
      </c>
      <c r="AK61" s="104" cm="1">
        <f t="array" ref="AK61">IF(AK56=0,0,INDEX(capex,MATCH($B15,assetnames,0),AK56))</f>
        <v>0</v>
      </c>
      <c r="AL61" s="104" cm="1">
        <f t="array" ref="AL61">IF(AL56=0,0,INDEX(capex,MATCH($B15,assetnames,0),AL56))</f>
        <v>0</v>
      </c>
      <c r="AM61" s="104" cm="1">
        <f t="array" ref="AM61">IF(AM56=0,0,INDEX(capex,MATCH($B15,assetnames,0),AM56))</f>
        <v>0</v>
      </c>
      <c r="AN61" s="25"/>
      <c r="AO61" s="25"/>
      <c r="AP61" s="25"/>
      <c r="AQ61" s="25"/>
      <c r="AR61" s="25"/>
      <c r="AS61" s="25"/>
      <c r="AT61" s="25"/>
      <c r="AU61" s="25"/>
      <c r="AV61" s="25"/>
      <c r="AW61" s="25"/>
      <c r="AX61" s="25"/>
      <c r="AY61" s="25"/>
      <c r="AZ61" s="25"/>
    </row>
    <row r="62" spans="1:60" x14ac:dyDescent="0.5">
      <c r="A62" s="25"/>
      <c r="B62" s="25"/>
      <c r="C62" s="25" t="s">
        <v>24</v>
      </c>
      <c r="D62" s="25" t="s">
        <v>131</v>
      </c>
      <c r="E62" s="25"/>
      <c r="F62" s="121" t="str">
        <f>IF(H63=0,"",INDEX($J$7:$AM$7,1,MATCH(1,$J55:$AM55,0)))</f>
        <v/>
      </c>
      <c r="G62" s="25"/>
      <c r="H62" s="25"/>
      <c r="I62" s="25"/>
      <c r="J62" s="104">
        <f t="shared" ref="J62:AM62" si="18">IF(J52=1,INDEX(opex,MATCH($B15,assetnames,0),J57),0)</f>
        <v>0</v>
      </c>
      <c r="K62" s="104">
        <f t="shared" si="18"/>
        <v>0</v>
      </c>
      <c r="L62" s="104">
        <f t="shared" si="18"/>
        <v>0</v>
      </c>
      <c r="M62" s="104">
        <f t="shared" si="18"/>
        <v>0</v>
      </c>
      <c r="N62" s="104">
        <f t="shared" si="18"/>
        <v>0</v>
      </c>
      <c r="O62" s="104">
        <f t="shared" si="18"/>
        <v>0</v>
      </c>
      <c r="P62" s="104">
        <f t="shared" si="18"/>
        <v>0</v>
      </c>
      <c r="Q62" s="104">
        <f t="shared" si="18"/>
        <v>0</v>
      </c>
      <c r="R62" s="104">
        <f t="shared" si="18"/>
        <v>0</v>
      </c>
      <c r="S62" s="104">
        <f t="shared" si="18"/>
        <v>0</v>
      </c>
      <c r="T62" s="104">
        <f t="shared" si="18"/>
        <v>0</v>
      </c>
      <c r="U62" s="104">
        <f t="shared" si="18"/>
        <v>0</v>
      </c>
      <c r="V62" s="104">
        <f t="shared" si="18"/>
        <v>0</v>
      </c>
      <c r="W62" s="104">
        <f t="shared" si="18"/>
        <v>0</v>
      </c>
      <c r="X62" s="104">
        <f t="shared" si="18"/>
        <v>0</v>
      </c>
      <c r="Y62" s="104">
        <f t="shared" si="18"/>
        <v>0</v>
      </c>
      <c r="Z62" s="104">
        <f t="shared" si="18"/>
        <v>0</v>
      </c>
      <c r="AA62" s="104">
        <f t="shared" si="18"/>
        <v>0</v>
      </c>
      <c r="AB62" s="104">
        <f t="shared" si="18"/>
        <v>0</v>
      </c>
      <c r="AC62" s="104">
        <f t="shared" si="18"/>
        <v>0</v>
      </c>
      <c r="AD62" s="104">
        <f t="shared" si="18"/>
        <v>0</v>
      </c>
      <c r="AE62" s="104">
        <f t="shared" si="18"/>
        <v>0</v>
      </c>
      <c r="AF62" s="104">
        <f t="shared" si="18"/>
        <v>0</v>
      </c>
      <c r="AG62" s="104">
        <f t="shared" si="18"/>
        <v>0</v>
      </c>
      <c r="AH62" s="104">
        <f t="shared" si="18"/>
        <v>0</v>
      </c>
      <c r="AI62" s="104">
        <f t="shared" si="18"/>
        <v>0</v>
      </c>
      <c r="AJ62" s="104">
        <f t="shared" si="18"/>
        <v>0</v>
      </c>
      <c r="AK62" s="104">
        <f t="shared" si="18"/>
        <v>0</v>
      </c>
      <c r="AL62" s="104">
        <f t="shared" si="18"/>
        <v>0</v>
      </c>
      <c r="AM62" s="104">
        <f t="shared" si="18"/>
        <v>0</v>
      </c>
      <c r="AN62" s="25"/>
      <c r="AO62" s="25"/>
      <c r="AP62" s="25"/>
      <c r="AQ62" s="25"/>
      <c r="AR62" s="25"/>
      <c r="AS62" s="25"/>
      <c r="AT62" s="25"/>
      <c r="AU62" s="25"/>
      <c r="AV62" s="25"/>
      <c r="AW62" s="25"/>
      <c r="AX62" s="25"/>
      <c r="AY62" s="25"/>
      <c r="AZ62" s="25"/>
    </row>
    <row r="63" spans="1:60" s="101" customFormat="1" x14ac:dyDescent="0.5">
      <c r="A63" s="26"/>
      <c r="B63" s="26"/>
      <c r="C63" s="26" t="s">
        <v>25</v>
      </c>
      <c r="D63" s="26" t="s">
        <v>131</v>
      </c>
      <c r="E63" s="26"/>
      <c r="F63" s="26"/>
      <c r="G63" s="26"/>
      <c r="H63" s="105">
        <f>J63+NPV(discountrate,K63:AK63)</f>
        <v>0</v>
      </c>
      <c r="I63" s="26"/>
      <c r="J63" s="105">
        <f>SUM(J60:J62)</f>
        <v>0</v>
      </c>
      <c r="K63" s="105">
        <f t="shared" ref="K63:AM63" si="19">SUM(K60:K62)</f>
        <v>0</v>
      </c>
      <c r="L63" s="105">
        <f t="shared" si="19"/>
        <v>0</v>
      </c>
      <c r="M63" s="105">
        <f t="shared" si="19"/>
        <v>0</v>
      </c>
      <c r="N63" s="105">
        <f t="shared" si="19"/>
        <v>0</v>
      </c>
      <c r="O63" s="105">
        <f t="shared" si="19"/>
        <v>0</v>
      </c>
      <c r="P63" s="105">
        <f t="shared" si="19"/>
        <v>0</v>
      </c>
      <c r="Q63" s="105">
        <f t="shared" si="19"/>
        <v>0</v>
      </c>
      <c r="R63" s="105">
        <f t="shared" si="19"/>
        <v>0</v>
      </c>
      <c r="S63" s="105">
        <f t="shared" si="19"/>
        <v>0</v>
      </c>
      <c r="T63" s="105">
        <f t="shared" si="19"/>
        <v>0</v>
      </c>
      <c r="U63" s="105">
        <f t="shared" si="19"/>
        <v>0</v>
      </c>
      <c r="V63" s="105">
        <f t="shared" si="19"/>
        <v>0</v>
      </c>
      <c r="W63" s="105">
        <f t="shared" si="19"/>
        <v>0</v>
      </c>
      <c r="X63" s="105">
        <f t="shared" si="19"/>
        <v>0</v>
      </c>
      <c r="Y63" s="105">
        <f t="shared" si="19"/>
        <v>0</v>
      </c>
      <c r="Z63" s="105">
        <f t="shared" si="19"/>
        <v>0</v>
      </c>
      <c r="AA63" s="105">
        <f t="shared" si="19"/>
        <v>0</v>
      </c>
      <c r="AB63" s="105">
        <f t="shared" si="19"/>
        <v>0</v>
      </c>
      <c r="AC63" s="105">
        <f t="shared" si="19"/>
        <v>0</v>
      </c>
      <c r="AD63" s="105">
        <f t="shared" si="19"/>
        <v>0</v>
      </c>
      <c r="AE63" s="105">
        <f t="shared" si="19"/>
        <v>0</v>
      </c>
      <c r="AF63" s="105">
        <f t="shared" si="19"/>
        <v>0</v>
      </c>
      <c r="AG63" s="105">
        <f t="shared" si="19"/>
        <v>0</v>
      </c>
      <c r="AH63" s="105">
        <f t="shared" si="19"/>
        <v>0</v>
      </c>
      <c r="AI63" s="105">
        <f t="shared" si="19"/>
        <v>0</v>
      </c>
      <c r="AJ63" s="105">
        <f t="shared" si="19"/>
        <v>0</v>
      </c>
      <c r="AK63" s="105">
        <f t="shared" si="19"/>
        <v>0</v>
      </c>
      <c r="AL63" s="105">
        <f t="shared" si="19"/>
        <v>0</v>
      </c>
      <c r="AM63" s="105">
        <f t="shared" si="19"/>
        <v>0</v>
      </c>
      <c r="AN63" s="26"/>
      <c r="AO63" s="26"/>
      <c r="AP63" s="26"/>
      <c r="AQ63" s="26"/>
      <c r="AR63" s="26"/>
      <c r="AS63" s="26"/>
      <c r="AT63" s="26"/>
      <c r="AU63" s="26"/>
      <c r="AV63" s="26"/>
      <c r="AW63" s="26"/>
      <c r="AX63" s="26"/>
      <c r="AY63" s="26"/>
      <c r="AZ63" s="26"/>
    </row>
    <row r="64" spans="1:60" s="101" customFormat="1" x14ac:dyDescent="0.5">
      <c r="A64" s="26"/>
      <c r="B64" s="26"/>
      <c r="C64" s="26"/>
      <c r="D64" s="26"/>
      <c r="E64" s="26"/>
      <c r="F64" s="26"/>
      <c r="G64" s="26"/>
      <c r="H64" s="157"/>
      <c r="I64" s="26"/>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26"/>
      <c r="AO64" s="26"/>
      <c r="AP64" s="26"/>
      <c r="AQ64" s="26"/>
      <c r="AR64" s="26"/>
      <c r="AS64" s="26"/>
      <c r="AT64" s="26"/>
      <c r="AU64" s="26"/>
      <c r="AV64" s="26"/>
      <c r="AW64" s="26"/>
      <c r="AX64" s="26"/>
      <c r="AY64" s="26"/>
      <c r="AZ64" s="26"/>
    </row>
    <row r="65" spans="1:60" s="101" customFormat="1" x14ac:dyDescent="0.5">
      <c r="A65" s="26"/>
      <c r="B65" s="26"/>
      <c r="C65" s="26" t="s">
        <v>147</v>
      </c>
      <c r="D65" s="26"/>
      <c r="E65" s="26"/>
      <c r="F65" s="26"/>
      <c r="G65" s="26"/>
      <c r="H65" s="157"/>
      <c r="I65" s="26"/>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26"/>
      <c r="AO65" s="26"/>
      <c r="AP65" s="26"/>
      <c r="AQ65" s="26"/>
      <c r="AR65" s="26"/>
      <c r="AS65" s="26"/>
      <c r="AT65" s="26"/>
      <c r="AU65" s="26"/>
      <c r="AV65" s="26"/>
      <c r="AW65" s="26"/>
      <c r="AX65" s="26"/>
      <c r="AY65" s="26"/>
      <c r="AZ65" s="26"/>
    </row>
    <row r="66" spans="1:60" s="101" customFormat="1" x14ac:dyDescent="0.5">
      <c r="A66" s="26"/>
      <c r="B66" s="26"/>
      <c r="C66" s="26"/>
      <c r="D66" s="26"/>
      <c r="E66" s="26"/>
      <c r="F66" s="26"/>
      <c r="G66" s="26"/>
      <c r="H66" s="157"/>
      <c r="I66" s="26"/>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26"/>
      <c r="AO66" s="26"/>
      <c r="AP66" s="26"/>
      <c r="AQ66" s="26"/>
      <c r="AR66" s="26"/>
      <c r="AS66" s="26"/>
      <c r="AT66" s="26"/>
      <c r="AU66" s="26"/>
      <c r="AV66" s="26"/>
      <c r="AW66" s="26"/>
      <c r="AX66" s="26"/>
      <c r="AY66" s="26"/>
      <c r="AZ66" s="26"/>
    </row>
    <row r="67" spans="1:60" s="101" customFormat="1" x14ac:dyDescent="0.5">
      <c r="A67" s="26"/>
      <c r="B67" s="26"/>
      <c r="C67" s="25" t="s">
        <v>95</v>
      </c>
      <c r="D67" s="25" t="s">
        <v>35</v>
      </c>
      <c r="E67" s="26"/>
      <c r="F67" s="26"/>
      <c r="G67" s="26"/>
      <c r="H67" s="157"/>
      <c r="I67" s="26"/>
      <c r="J67" s="105">
        <f t="shared" ref="J67:AM67" si="20">INDEX(networkvolumes,MATCH($C67,volumesnames,0),MATCH(J$7,years,0))</f>
        <v>0</v>
      </c>
      <c r="K67" s="105">
        <f t="shared" si="20"/>
        <v>0</v>
      </c>
      <c r="L67" s="105">
        <f t="shared" si="20"/>
        <v>0</v>
      </c>
      <c r="M67" s="105">
        <f t="shared" si="20"/>
        <v>0</v>
      </c>
      <c r="N67" s="105">
        <f t="shared" si="20"/>
        <v>0</v>
      </c>
      <c r="O67" s="105">
        <f t="shared" si="20"/>
        <v>0</v>
      </c>
      <c r="P67" s="105">
        <f t="shared" si="20"/>
        <v>0</v>
      </c>
      <c r="Q67" s="105">
        <f t="shared" si="20"/>
        <v>0</v>
      </c>
      <c r="R67" s="105">
        <f t="shared" si="20"/>
        <v>0</v>
      </c>
      <c r="S67" s="105">
        <f t="shared" si="20"/>
        <v>0</v>
      </c>
      <c r="T67" s="105">
        <f t="shared" si="20"/>
        <v>0</v>
      </c>
      <c r="U67" s="105">
        <f t="shared" si="20"/>
        <v>0</v>
      </c>
      <c r="V67" s="105">
        <f t="shared" si="20"/>
        <v>0</v>
      </c>
      <c r="W67" s="105">
        <f t="shared" si="20"/>
        <v>0</v>
      </c>
      <c r="X67" s="105">
        <f t="shared" si="20"/>
        <v>0</v>
      </c>
      <c r="Y67" s="105">
        <f t="shared" si="20"/>
        <v>0</v>
      </c>
      <c r="Z67" s="105">
        <f t="shared" si="20"/>
        <v>0</v>
      </c>
      <c r="AA67" s="105">
        <f t="shared" si="20"/>
        <v>0</v>
      </c>
      <c r="AB67" s="105">
        <f t="shared" si="20"/>
        <v>0</v>
      </c>
      <c r="AC67" s="105">
        <f t="shared" si="20"/>
        <v>0</v>
      </c>
      <c r="AD67" s="105">
        <f t="shared" si="20"/>
        <v>0</v>
      </c>
      <c r="AE67" s="105">
        <f t="shared" si="20"/>
        <v>0</v>
      </c>
      <c r="AF67" s="105">
        <f t="shared" si="20"/>
        <v>0</v>
      </c>
      <c r="AG67" s="105">
        <f t="shared" si="20"/>
        <v>0</v>
      </c>
      <c r="AH67" s="105">
        <f t="shared" si="20"/>
        <v>0</v>
      </c>
      <c r="AI67" s="105">
        <f t="shared" si="20"/>
        <v>0</v>
      </c>
      <c r="AJ67" s="105">
        <f t="shared" si="20"/>
        <v>0</v>
      </c>
      <c r="AK67" s="105">
        <f t="shared" si="20"/>
        <v>0</v>
      </c>
      <c r="AL67" s="105">
        <f t="shared" si="20"/>
        <v>0</v>
      </c>
      <c r="AM67" s="105">
        <f t="shared" si="20"/>
        <v>0</v>
      </c>
      <c r="AN67" s="26"/>
      <c r="AO67" s="26"/>
      <c r="AP67" s="26"/>
      <c r="AQ67" s="26"/>
      <c r="AR67" s="26"/>
      <c r="AS67" s="26"/>
      <c r="AT67" s="26"/>
      <c r="AU67" s="26"/>
      <c r="AV67" s="26"/>
      <c r="AW67" s="26"/>
      <c r="AX67" s="26"/>
      <c r="AY67" s="26"/>
      <c r="AZ67" s="26"/>
    </row>
    <row r="68" spans="1:60" s="101" customFormat="1" x14ac:dyDescent="0.5">
      <c r="A68" s="26"/>
      <c r="B68" s="26"/>
      <c r="C68" s="25" t="s">
        <v>148</v>
      </c>
      <c r="D68" s="25" t="s">
        <v>150</v>
      </c>
      <c r="E68" s="26"/>
      <c r="F68" s="26"/>
      <c r="G68" s="26"/>
      <c r="H68" s="157"/>
      <c r="I68" s="26"/>
      <c r="J68" s="105">
        <f t="shared" ref="J68:AM68" si="21">INDEX(networkexistingcost,MATCH(J$7,years,0))</f>
        <v>0</v>
      </c>
      <c r="K68" s="105">
        <f t="shared" si="21"/>
        <v>0</v>
      </c>
      <c r="L68" s="105">
        <f t="shared" si="21"/>
        <v>0</v>
      </c>
      <c r="M68" s="105">
        <f t="shared" si="21"/>
        <v>0</v>
      </c>
      <c r="N68" s="105">
        <f t="shared" si="21"/>
        <v>0</v>
      </c>
      <c r="O68" s="105">
        <f t="shared" si="21"/>
        <v>0</v>
      </c>
      <c r="P68" s="105">
        <f t="shared" si="21"/>
        <v>0</v>
      </c>
      <c r="Q68" s="105">
        <f t="shared" si="21"/>
        <v>0</v>
      </c>
      <c r="R68" s="105">
        <f t="shared" si="21"/>
        <v>0</v>
      </c>
      <c r="S68" s="105">
        <f t="shared" si="21"/>
        <v>0</v>
      </c>
      <c r="T68" s="105">
        <f t="shared" si="21"/>
        <v>0</v>
      </c>
      <c r="U68" s="105">
        <f t="shared" si="21"/>
        <v>0</v>
      </c>
      <c r="V68" s="105">
        <f t="shared" si="21"/>
        <v>0</v>
      </c>
      <c r="W68" s="105">
        <f t="shared" si="21"/>
        <v>0</v>
      </c>
      <c r="X68" s="105">
        <f t="shared" si="21"/>
        <v>0</v>
      </c>
      <c r="Y68" s="105">
        <f t="shared" si="21"/>
        <v>0</v>
      </c>
      <c r="Z68" s="105">
        <f t="shared" si="21"/>
        <v>0</v>
      </c>
      <c r="AA68" s="105">
        <f t="shared" si="21"/>
        <v>0</v>
      </c>
      <c r="AB68" s="105">
        <f t="shared" si="21"/>
        <v>0</v>
      </c>
      <c r="AC68" s="105">
        <f t="shared" si="21"/>
        <v>0</v>
      </c>
      <c r="AD68" s="105">
        <f t="shared" si="21"/>
        <v>0</v>
      </c>
      <c r="AE68" s="105">
        <f t="shared" si="21"/>
        <v>0</v>
      </c>
      <c r="AF68" s="105">
        <f t="shared" si="21"/>
        <v>0</v>
      </c>
      <c r="AG68" s="105">
        <f t="shared" si="21"/>
        <v>0</v>
      </c>
      <c r="AH68" s="105">
        <f t="shared" si="21"/>
        <v>0</v>
      </c>
      <c r="AI68" s="105">
        <f t="shared" si="21"/>
        <v>0</v>
      </c>
      <c r="AJ68" s="105">
        <f t="shared" si="21"/>
        <v>0</v>
      </c>
      <c r="AK68" s="105">
        <f t="shared" si="21"/>
        <v>0</v>
      </c>
      <c r="AL68" s="105">
        <f t="shared" si="21"/>
        <v>0</v>
      </c>
      <c r="AM68" s="105">
        <f t="shared" si="21"/>
        <v>0</v>
      </c>
      <c r="AN68" s="26"/>
      <c r="AO68" s="26"/>
      <c r="AP68" s="26"/>
      <c r="AQ68" s="26"/>
      <c r="AR68" s="26"/>
      <c r="AS68" s="26"/>
      <c r="AT68" s="26"/>
      <c r="AU68" s="26"/>
      <c r="AV68" s="26"/>
      <c r="AW68" s="26"/>
      <c r="AX68" s="26"/>
      <c r="AY68" s="26"/>
      <c r="AZ68" s="26"/>
    </row>
    <row r="69" spans="1:60" s="101" customFormat="1" x14ac:dyDescent="0.5">
      <c r="A69" s="26"/>
      <c r="B69" s="26"/>
      <c r="C69" s="26" t="s">
        <v>149</v>
      </c>
      <c r="D69" s="26" t="s">
        <v>150</v>
      </c>
      <c r="E69" s="26"/>
      <c r="F69" s="26"/>
      <c r="G69" s="26"/>
      <c r="H69" s="105">
        <f>J69+NPV(discountrate,K69:AM69)</f>
        <v>0</v>
      </c>
      <c r="I69" s="26"/>
      <c r="J69" s="105">
        <f>J67*J68</f>
        <v>0</v>
      </c>
      <c r="K69" s="105">
        <f t="shared" ref="K69" si="22">K67*K68</f>
        <v>0</v>
      </c>
      <c r="L69" s="105">
        <f t="shared" ref="L69" si="23">L67*L68</f>
        <v>0</v>
      </c>
      <c r="M69" s="105">
        <f t="shared" ref="M69" si="24">M67*M68</f>
        <v>0</v>
      </c>
      <c r="N69" s="105">
        <f t="shared" ref="N69" si="25">N67*N68</f>
        <v>0</v>
      </c>
      <c r="O69" s="105">
        <f t="shared" ref="O69" si="26">O67*O68</f>
        <v>0</v>
      </c>
      <c r="P69" s="105">
        <f t="shared" ref="P69" si="27">P67*P68</f>
        <v>0</v>
      </c>
      <c r="Q69" s="105">
        <f t="shared" ref="Q69" si="28">Q67*Q68</f>
        <v>0</v>
      </c>
      <c r="R69" s="105">
        <f t="shared" ref="R69" si="29">R67*R68</f>
        <v>0</v>
      </c>
      <c r="S69" s="105">
        <f t="shared" ref="S69" si="30">S67*S68</f>
        <v>0</v>
      </c>
      <c r="T69" s="105">
        <f t="shared" ref="T69" si="31">T67*T68</f>
        <v>0</v>
      </c>
      <c r="U69" s="105">
        <f t="shared" ref="U69" si="32">U67*U68</f>
        <v>0</v>
      </c>
      <c r="V69" s="105">
        <f t="shared" ref="V69" si="33">V67*V68</f>
        <v>0</v>
      </c>
      <c r="W69" s="105">
        <f t="shared" ref="W69" si="34">W67*W68</f>
        <v>0</v>
      </c>
      <c r="X69" s="105">
        <f t="shared" ref="X69" si="35">X67*X68</f>
        <v>0</v>
      </c>
      <c r="Y69" s="105">
        <f t="shared" ref="Y69" si="36">Y67*Y68</f>
        <v>0</v>
      </c>
      <c r="Z69" s="105">
        <f t="shared" ref="Z69" si="37">Z67*Z68</f>
        <v>0</v>
      </c>
      <c r="AA69" s="105">
        <f t="shared" ref="AA69" si="38">AA67*AA68</f>
        <v>0</v>
      </c>
      <c r="AB69" s="105">
        <f t="shared" ref="AB69" si="39">AB67*AB68</f>
        <v>0</v>
      </c>
      <c r="AC69" s="105">
        <f t="shared" ref="AC69" si="40">AC67*AC68</f>
        <v>0</v>
      </c>
      <c r="AD69" s="105">
        <f t="shared" ref="AD69" si="41">AD67*AD68</f>
        <v>0</v>
      </c>
      <c r="AE69" s="105">
        <f t="shared" ref="AE69" si="42">AE67*AE68</f>
        <v>0</v>
      </c>
      <c r="AF69" s="105">
        <f t="shared" ref="AF69" si="43">AF67*AF68</f>
        <v>0</v>
      </c>
      <c r="AG69" s="105">
        <f t="shared" ref="AG69" si="44">AG67*AG68</f>
        <v>0</v>
      </c>
      <c r="AH69" s="105">
        <f t="shared" ref="AH69" si="45">AH67*AH68</f>
        <v>0</v>
      </c>
      <c r="AI69" s="105">
        <f t="shared" ref="AI69" si="46">AI67*AI68</f>
        <v>0</v>
      </c>
      <c r="AJ69" s="105">
        <f t="shared" ref="AJ69" si="47">AJ67*AJ68</f>
        <v>0</v>
      </c>
      <c r="AK69" s="105">
        <f t="shared" ref="AK69" si="48">AK67*AK68</f>
        <v>0</v>
      </c>
      <c r="AL69" s="105">
        <f t="shared" ref="AL69" si="49">AL67*AL68</f>
        <v>0</v>
      </c>
      <c r="AM69" s="105">
        <f t="shared" ref="AM69" si="50">AM67*AM68</f>
        <v>0</v>
      </c>
      <c r="AN69" s="26"/>
      <c r="AO69" s="26"/>
      <c r="AP69" s="26"/>
      <c r="AQ69" s="26"/>
      <c r="AR69" s="26"/>
      <c r="AS69" s="26"/>
      <c r="AT69" s="26"/>
      <c r="AU69" s="26"/>
      <c r="AV69" s="26"/>
      <c r="AW69" s="26"/>
      <c r="AX69" s="26"/>
      <c r="AY69" s="26"/>
      <c r="AZ69" s="26"/>
    </row>
    <row r="70" spans="1:60" x14ac:dyDescent="0.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row>
    <row r="71" spans="1:60" ht="33" customHeight="1" thickBot="1" x14ac:dyDescent="1">
      <c r="A71" s="24"/>
      <c r="B71" s="25"/>
      <c r="C71" s="205" t="s">
        <v>38</v>
      </c>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13"/>
      <c r="AP71" s="214"/>
      <c r="AQ71" s="214"/>
      <c r="AR71" s="214"/>
      <c r="AS71" s="214"/>
      <c r="AT71" s="214"/>
      <c r="AU71" s="214"/>
      <c r="AV71" s="214"/>
      <c r="AW71" s="214"/>
      <c r="AX71" s="214"/>
      <c r="AY71" s="214"/>
      <c r="AZ71" s="214"/>
    </row>
    <row r="72" spans="1:60" ht="31.5" x14ac:dyDescent="0.85">
      <c r="A72" s="25"/>
      <c r="B72" s="94"/>
      <c r="C72" s="94"/>
      <c r="D72" s="94"/>
      <c r="E72" s="94"/>
      <c r="F72" s="95"/>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row>
    <row r="73" spans="1:60" x14ac:dyDescent="0.5">
      <c r="A73" s="25"/>
      <c r="B73" s="25"/>
      <c r="C73" s="102" t="s">
        <v>28</v>
      </c>
      <c r="D73" s="25"/>
      <c r="E73" s="25"/>
      <c r="F73" s="25"/>
      <c r="G73" s="25"/>
      <c r="H73" s="104">
        <f>(H113-H91)</f>
        <v>0</v>
      </c>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row>
    <row r="74" spans="1:60" x14ac:dyDescent="0.5">
      <c r="A74" s="25"/>
      <c r="B74" s="25"/>
      <c r="C74" s="102" t="s">
        <v>29</v>
      </c>
      <c r="D74" s="25"/>
      <c r="E74" s="25"/>
      <c r="F74" s="25"/>
      <c r="G74" s="25"/>
      <c r="H74" s="104">
        <f>(H109-H87)*1000000</f>
        <v>0</v>
      </c>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row>
    <row r="75" spans="1:60" x14ac:dyDescent="0.5">
      <c r="A75" s="25"/>
      <c r="B75" s="25"/>
      <c r="C75" s="103" t="s">
        <v>27</v>
      </c>
      <c r="D75" s="103" t="s">
        <v>114</v>
      </c>
      <c r="E75" s="26"/>
      <c r="F75" s="25"/>
      <c r="G75" s="25"/>
      <c r="H75" s="105" t="e">
        <f>H73/H74</f>
        <v>#DIV/0!</v>
      </c>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row>
    <row r="76" spans="1:60" x14ac:dyDescent="0.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row>
    <row r="77" spans="1:60" ht="19.5" x14ac:dyDescent="0.55000000000000004">
      <c r="A77" s="25"/>
      <c r="C77" s="97" t="s">
        <v>94</v>
      </c>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row>
    <row r="78" spans="1:60" x14ac:dyDescent="0.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row>
    <row r="79" spans="1:60" x14ac:dyDescent="0.5">
      <c r="A79" s="25"/>
      <c r="B79" s="25"/>
      <c r="C79" s="98" t="s">
        <v>21</v>
      </c>
      <c r="D79" s="99"/>
      <c r="E79" s="99"/>
      <c r="F79" s="25"/>
      <c r="G79" s="25"/>
      <c r="H79" s="99"/>
      <c r="I79" s="25"/>
      <c r="J79" s="99"/>
      <c r="K79" s="99"/>
      <c r="L79" s="99"/>
      <c r="M79" s="99"/>
      <c r="N79" s="99"/>
      <c r="O79" s="99"/>
      <c r="P79" s="99"/>
      <c r="Q79" s="99"/>
      <c r="R79" s="99"/>
      <c r="S79" s="99"/>
      <c r="T79" s="99"/>
      <c r="U79" s="99"/>
      <c r="V79" s="99"/>
      <c r="W79" s="99"/>
      <c r="X79" s="99"/>
      <c r="Y79" s="99"/>
      <c r="Z79" s="99"/>
      <c r="AA79" s="99"/>
      <c r="AB79" s="99"/>
      <c r="AC79" s="99"/>
      <c r="AD79" s="99"/>
      <c r="AE79" s="99"/>
      <c r="AF79" s="25"/>
      <c r="AG79" s="25"/>
      <c r="AH79" s="25"/>
      <c r="AI79" s="25"/>
      <c r="AJ79" s="25"/>
      <c r="AK79" s="25"/>
      <c r="AL79" s="25"/>
      <c r="AM79" s="25"/>
      <c r="AN79" s="25"/>
      <c r="AO79" s="25"/>
      <c r="AP79" s="25"/>
      <c r="AQ79" s="25"/>
      <c r="AR79" s="25"/>
      <c r="AS79" s="25"/>
      <c r="AT79" s="25"/>
      <c r="AU79" s="25"/>
      <c r="AV79" s="25"/>
      <c r="AW79" s="25"/>
      <c r="AX79" s="25"/>
      <c r="AY79" s="25"/>
      <c r="AZ79" s="25"/>
    </row>
    <row r="80" spans="1:60" x14ac:dyDescent="0.5">
      <c r="A80" s="25"/>
      <c r="B80" s="25"/>
      <c r="C80" s="98" t="s">
        <v>18</v>
      </c>
      <c r="D80" s="98"/>
      <c r="E80" s="98"/>
      <c r="F80" s="25"/>
      <c r="G80" s="25"/>
      <c r="H80" s="99"/>
      <c r="I80" s="25"/>
      <c r="J80" s="107">
        <f t="shared" ref="J80:AM80" si="51">IF(J87&lt;INDEX(tippingpoints,MATCH($B15,tippingpointnames,0),1),0,1)</f>
        <v>1</v>
      </c>
      <c r="K80" s="107">
        <f t="shared" si="51"/>
        <v>1</v>
      </c>
      <c r="L80" s="107">
        <f t="shared" si="51"/>
        <v>1</v>
      </c>
      <c r="M80" s="107">
        <f t="shared" si="51"/>
        <v>1</v>
      </c>
      <c r="N80" s="107">
        <f t="shared" si="51"/>
        <v>1</v>
      </c>
      <c r="O80" s="107">
        <f t="shared" si="51"/>
        <v>1</v>
      </c>
      <c r="P80" s="107">
        <f t="shared" si="51"/>
        <v>1</v>
      </c>
      <c r="Q80" s="107">
        <f t="shared" si="51"/>
        <v>1</v>
      </c>
      <c r="R80" s="107">
        <f t="shared" si="51"/>
        <v>1</v>
      </c>
      <c r="S80" s="107">
        <f t="shared" si="51"/>
        <v>1</v>
      </c>
      <c r="T80" s="107">
        <f t="shared" si="51"/>
        <v>1</v>
      </c>
      <c r="U80" s="107">
        <f t="shared" si="51"/>
        <v>1</v>
      </c>
      <c r="V80" s="107">
        <f t="shared" si="51"/>
        <v>1</v>
      </c>
      <c r="W80" s="107">
        <f t="shared" si="51"/>
        <v>1</v>
      </c>
      <c r="X80" s="107">
        <f t="shared" si="51"/>
        <v>1</v>
      </c>
      <c r="Y80" s="107">
        <f t="shared" si="51"/>
        <v>1</v>
      </c>
      <c r="Z80" s="107">
        <f t="shared" si="51"/>
        <v>1</v>
      </c>
      <c r="AA80" s="107">
        <f t="shared" si="51"/>
        <v>1</v>
      </c>
      <c r="AB80" s="107">
        <f t="shared" si="51"/>
        <v>1</v>
      </c>
      <c r="AC80" s="107">
        <f t="shared" si="51"/>
        <v>1</v>
      </c>
      <c r="AD80" s="107">
        <f t="shared" si="51"/>
        <v>1</v>
      </c>
      <c r="AE80" s="107">
        <f t="shared" si="51"/>
        <v>1</v>
      </c>
      <c r="AF80" s="107">
        <f t="shared" si="51"/>
        <v>1</v>
      </c>
      <c r="AG80" s="107">
        <f t="shared" si="51"/>
        <v>1</v>
      </c>
      <c r="AH80" s="107">
        <f t="shared" si="51"/>
        <v>1</v>
      </c>
      <c r="AI80" s="107">
        <f t="shared" si="51"/>
        <v>1</v>
      </c>
      <c r="AJ80" s="107">
        <f t="shared" si="51"/>
        <v>1</v>
      </c>
      <c r="AK80" s="107">
        <f t="shared" si="51"/>
        <v>1</v>
      </c>
      <c r="AL80" s="107">
        <f t="shared" si="51"/>
        <v>1</v>
      </c>
      <c r="AM80" s="107">
        <f t="shared" si="51"/>
        <v>1</v>
      </c>
      <c r="AN80" s="25"/>
      <c r="AO80" s="25"/>
      <c r="AP80" s="25"/>
      <c r="AQ80" s="25"/>
      <c r="AR80" s="25"/>
      <c r="AS80" s="25"/>
      <c r="AT80" s="25"/>
      <c r="AU80" s="25"/>
      <c r="AV80" s="25"/>
      <c r="AW80" s="25"/>
      <c r="AX80" s="25"/>
      <c r="AY80" s="25"/>
      <c r="AZ80" s="25"/>
    </row>
    <row r="81" spans="1:60" x14ac:dyDescent="0.5">
      <c r="A81" s="25"/>
      <c r="B81" s="25"/>
      <c r="C81" s="98" t="s">
        <v>19</v>
      </c>
      <c r="D81" s="98"/>
      <c r="E81" s="98"/>
      <c r="F81" s="25"/>
      <c r="G81" s="25"/>
      <c r="H81" s="99"/>
      <c r="I81" s="25"/>
      <c r="J81" s="109">
        <f>IF(SUM($J80:J80)=0,0,1)</f>
        <v>1</v>
      </c>
      <c r="K81" s="109">
        <f>IF(SUM($J80:K80)=0,0,1)</f>
        <v>1</v>
      </c>
      <c r="L81" s="109">
        <f>IF(SUM($J80:L80)=0,0,1)</f>
        <v>1</v>
      </c>
      <c r="M81" s="109">
        <f>IF(SUM($J80:M80)=0,0,1)</f>
        <v>1</v>
      </c>
      <c r="N81" s="109">
        <f>IF(SUM($J80:N80)=0,0,1)</f>
        <v>1</v>
      </c>
      <c r="O81" s="109">
        <f>IF(SUM($J80:O80)=0,0,1)</f>
        <v>1</v>
      </c>
      <c r="P81" s="109">
        <f>IF(SUM($J80:P80)=0,0,1)</f>
        <v>1</v>
      </c>
      <c r="Q81" s="109">
        <f>IF(SUM($J80:Q80)=0,0,1)</f>
        <v>1</v>
      </c>
      <c r="R81" s="109">
        <f>IF(SUM($J80:R80)=0,0,1)</f>
        <v>1</v>
      </c>
      <c r="S81" s="109">
        <f>IF(SUM($J80:S80)=0,0,1)</f>
        <v>1</v>
      </c>
      <c r="T81" s="109">
        <f>IF(SUM($J80:T80)=0,0,1)</f>
        <v>1</v>
      </c>
      <c r="U81" s="109">
        <f>IF(SUM($J80:U80)=0,0,1)</f>
        <v>1</v>
      </c>
      <c r="V81" s="109">
        <f>IF(SUM($J80:V80)=0,0,1)</f>
        <v>1</v>
      </c>
      <c r="W81" s="109">
        <f>IF(SUM($J80:W80)=0,0,1)</f>
        <v>1</v>
      </c>
      <c r="X81" s="109">
        <f>IF(SUM($J80:X80)=0,0,1)</f>
        <v>1</v>
      </c>
      <c r="Y81" s="109">
        <f>IF(SUM($J80:Y80)=0,0,1)</f>
        <v>1</v>
      </c>
      <c r="Z81" s="109">
        <f>IF(SUM($J80:Z80)=0,0,1)</f>
        <v>1</v>
      </c>
      <c r="AA81" s="109">
        <f>IF(SUM($J80:AA80)=0,0,1)</f>
        <v>1</v>
      </c>
      <c r="AB81" s="109">
        <f>IF(SUM($J80:AB80)=0,0,1)</f>
        <v>1</v>
      </c>
      <c r="AC81" s="109">
        <f>IF(SUM($J80:AC80)=0,0,1)</f>
        <v>1</v>
      </c>
      <c r="AD81" s="109">
        <f>IF(SUM($J80:AD80)=0,0,1)</f>
        <v>1</v>
      </c>
      <c r="AE81" s="109">
        <f>IF(SUM($J80:AE80)=0,0,1)</f>
        <v>1</v>
      </c>
      <c r="AF81" s="109">
        <f>IF(SUM($J80:AF80)=0,0,1)</f>
        <v>1</v>
      </c>
      <c r="AG81" s="109">
        <f>IF(SUM($J80:AG80)=0,0,1)</f>
        <v>1</v>
      </c>
      <c r="AH81" s="109">
        <f>IF(SUM($J80:AH80)=0,0,1)</f>
        <v>1</v>
      </c>
      <c r="AI81" s="109">
        <f>IF(SUM($J80:AI80)=0,0,1)</f>
        <v>1</v>
      </c>
      <c r="AJ81" s="109">
        <f>IF(SUM($J80:AJ80)=0,0,1)</f>
        <v>1</v>
      </c>
      <c r="AK81" s="109">
        <f>IF(SUM($J80:AK80)=0,0,1)</f>
        <v>1</v>
      </c>
      <c r="AL81" s="109">
        <f>IF(SUM($J80:AL80)=0,0,1)</f>
        <v>1</v>
      </c>
      <c r="AM81" s="109">
        <f>IF(SUM($J80:AM80)=0,0,1)</f>
        <v>1</v>
      </c>
      <c r="AN81" s="25"/>
      <c r="AO81" s="25"/>
      <c r="AP81" s="25"/>
      <c r="AQ81" s="25"/>
      <c r="AR81" s="25"/>
      <c r="AS81" s="25"/>
      <c r="AT81" s="25"/>
      <c r="AU81" s="25"/>
      <c r="AV81" s="25"/>
      <c r="AW81" s="25"/>
      <c r="AX81" s="25"/>
      <c r="AY81" s="25"/>
      <c r="AZ81" s="25"/>
    </row>
    <row r="82" spans="1:60" x14ac:dyDescent="0.5">
      <c r="A82" s="25"/>
      <c r="B82" s="25"/>
      <c r="C82" s="98" t="s">
        <v>20</v>
      </c>
      <c r="D82" s="98"/>
      <c r="E82" s="98"/>
      <c r="F82" s="25"/>
      <c r="G82" s="25"/>
      <c r="H82" s="99"/>
      <c r="I82" s="25"/>
      <c r="J82" s="109">
        <f>IF($AM81=0,0,IF(AND(J81=0,J80=0),K82-1,0))</f>
        <v>0</v>
      </c>
      <c r="K82" s="109">
        <f t="shared" ref="K82:AM82" si="52">IF($AM81=0,0,IF(AND(K81=0,K80=0),L82-1,0))</f>
        <v>0</v>
      </c>
      <c r="L82" s="109">
        <f t="shared" si="52"/>
        <v>0</v>
      </c>
      <c r="M82" s="109">
        <f t="shared" si="52"/>
        <v>0</v>
      </c>
      <c r="N82" s="109">
        <f t="shared" si="52"/>
        <v>0</v>
      </c>
      <c r="O82" s="109">
        <f t="shared" si="52"/>
        <v>0</v>
      </c>
      <c r="P82" s="109">
        <f t="shared" si="52"/>
        <v>0</v>
      </c>
      <c r="Q82" s="109">
        <f t="shared" si="52"/>
        <v>0</v>
      </c>
      <c r="R82" s="109">
        <f t="shared" si="52"/>
        <v>0</v>
      </c>
      <c r="S82" s="109">
        <f t="shared" si="52"/>
        <v>0</v>
      </c>
      <c r="T82" s="109">
        <f t="shared" si="52"/>
        <v>0</v>
      </c>
      <c r="U82" s="109">
        <f t="shared" si="52"/>
        <v>0</v>
      </c>
      <c r="V82" s="109">
        <f t="shared" si="52"/>
        <v>0</v>
      </c>
      <c r="W82" s="109">
        <f t="shared" si="52"/>
        <v>0</v>
      </c>
      <c r="X82" s="109">
        <f t="shared" si="52"/>
        <v>0</v>
      </c>
      <c r="Y82" s="109">
        <f t="shared" si="52"/>
        <v>0</v>
      </c>
      <c r="Z82" s="109">
        <f t="shared" si="52"/>
        <v>0</v>
      </c>
      <c r="AA82" s="109">
        <f t="shared" si="52"/>
        <v>0</v>
      </c>
      <c r="AB82" s="109">
        <f t="shared" si="52"/>
        <v>0</v>
      </c>
      <c r="AC82" s="109">
        <f t="shared" si="52"/>
        <v>0</v>
      </c>
      <c r="AD82" s="109">
        <f t="shared" si="52"/>
        <v>0</v>
      </c>
      <c r="AE82" s="109">
        <f t="shared" si="52"/>
        <v>0</v>
      </c>
      <c r="AF82" s="109">
        <f t="shared" si="52"/>
        <v>0</v>
      </c>
      <c r="AG82" s="109">
        <f t="shared" si="52"/>
        <v>0</v>
      </c>
      <c r="AH82" s="109">
        <f t="shared" si="52"/>
        <v>0</v>
      </c>
      <c r="AI82" s="109">
        <f t="shared" si="52"/>
        <v>0</v>
      </c>
      <c r="AJ82" s="109">
        <f t="shared" si="52"/>
        <v>0</v>
      </c>
      <c r="AK82" s="109">
        <f t="shared" si="52"/>
        <v>0</v>
      </c>
      <c r="AL82" s="109">
        <f t="shared" si="52"/>
        <v>0</v>
      </c>
      <c r="AM82" s="109">
        <f t="shared" si="52"/>
        <v>0</v>
      </c>
      <c r="AN82" s="25"/>
      <c r="AO82" s="25"/>
      <c r="AP82" s="25"/>
      <c r="AQ82" s="25"/>
      <c r="AR82" s="25"/>
      <c r="AS82" s="25"/>
      <c r="AT82" s="25"/>
      <c r="AU82" s="25"/>
      <c r="AV82" s="25"/>
      <c r="AW82" s="25"/>
      <c r="AX82" s="25"/>
      <c r="AY82" s="25"/>
      <c r="AZ82" s="25"/>
    </row>
    <row r="83" spans="1:60" x14ac:dyDescent="0.5">
      <c r="A83" s="25"/>
      <c r="B83" s="25"/>
      <c r="C83" s="98" t="s">
        <v>118</v>
      </c>
      <c r="D83" s="98"/>
      <c r="E83" s="98"/>
      <c r="F83" s="108"/>
      <c r="G83" s="98"/>
      <c r="H83" s="99"/>
      <c r="I83" s="99"/>
      <c r="J83" s="109">
        <f t="shared" ref="J83:AM83" si="53">IF(ABS(J82)=INDEX(leadtimes,MATCH($B15,assetnames,0),1),1,0)</f>
        <v>1</v>
      </c>
      <c r="K83" s="109">
        <f t="shared" si="53"/>
        <v>1</v>
      </c>
      <c r="L83" s="109">
        <f t="shared" si="53"/>
        <v>1</v>
      </c>
      <c r="M83" s="109">
        <f t="shared" si="53"/>
        <v>1</v>
      </c>
      <c r="N83" s="109">
        <f t="shared" si="53"/>
        <v>1</v>
      </c>
      <c r="O83" s="109">
        <f t="shared" si="53"/>
        <v>1</v>
      </c>
      <c r="P83" s="109">
        <f t="shared" si="53"/>
        <v>1</v>
      </c>
      <c r="Q83" s="109">
        <f t="shared" si="53"/>
        <v>1</v>
      </c>
      <c r="R83" s="109">
        <f t="shared" si="53"/>
        <v>1</v>
      </c>
      <c r="S83" s="109">
        <f t="shared" si="53"/>
        <v>1</v>
      </c>
      <c r="T83" s="109">
        <f t="shared" si="53"/>
        <v>1</v>
      </c>
      <c r="U83" s="109">
        <f t="shared" si="53"/>
        <v>1</v>
      </c>
      <c r="V83" s="109">
        <f t="shared" si="53"/>
        <v>1</v>
      </c>
      <c r="W83" s="109">
        <f t="shared" si="53"/>
        <v>1</v>
      </c>
      <c r="X83" s="109">
        <f t="shared" si="53"/>
        <v>1</v>
      </c>
      <c r="Y83" s="109">
        <f t="shared" si="53"/>
        <v>1</v>
      </c>
      <c r="Z83" s="109">
        <f t="shared" si="53"/>
        <v>1</v>
      </c>
      <c r="AA83" s="109">
        <f t="shared" si="53"/>
        <v>1</v>
      </c>
      <c r="AB83" s="109">
        <f t="shared" si="53"/>
        <v>1</v>
      </c>
      <c r="AC83" s="109">
        <f t="shared" si="53"/>
        <v>1</v>
      </c>
      <c r="AD83" s="109">
        <f t="shared" si="53"/>
        <v>1</v>
      </c>
      <c r="AE83" s="109">
        <f t="shared" si="53"/>
        <v>1</v>
      </c>
      <c r="AF83" s="109">
        <f t="shared" si="53"/>
        <v>1</v>
      </c>
      <c r="AG83" s="109">
        <f t="shared" si="53"/>
        <v>1</v>
      </c>
      <c r="AH83" s="109">
        <f t="shared" si="53"/>
        <v>1</v>
      </c>
      <c r="AI83" s="109">
        <f t="shared" si="53"/>
        <v>1</v>
      </c>
      <c r="AJ83" s="109">
        <f t="shared" si="53"/>
        <v>1</v>
      </c>
      <c r="AK83" s="109">
        <f t="shared" si="53"/>
        <v>1</v>
      </c>
      <c r="AL83" s="109">
        <f t="shared" si="53"/>
        <v>1</v>
      </c>
      <c r="AM83" s="109">
        <f t="shared" si="53"/>
        <v>1</v>
      </c>
      <c r="AN83" s="109"/>
      <c r="AO83" s="109"/>
      <c r="AP83" s="109"/>
      <c r="AQ83" s="109"/>
      <c r="AR83" s="109"/>
      <c r="AS83" s="109"/>
      <c r="AT83" s="109"/>
      <c r="AU83" s="109"/>
      <c r="AV83" s="109"/>
      <c r="AW83" s="109"/>
      <c r="AX83" s="109"/>
      <c r="AY83" s="109"/>
      <c r="AZ83" s="109"/>
      <c r="BA83" s="109"/>
      <c r="BB83" s="109"/>
      <c r="BC83" s="109"/>
      <c r="BD83" s="109"/>
      <c r="BE83" s="100"/>
      <c r="BF83" s="100"/>
      <c r="BG83" s="100"/>
      <c r="BH83" s="100"/>
    </row>
    <row r="84" spans="1:60" x14ac:dyDescent="0.5">
      <c r="A84" s="25"/>
      <c r="B84" s="25"/>
      <c r="C84" s="98" t="s">
        <v>119</v>
      </c>
      <c r="D84" s="98"/>
      <c r="E84" s="98"/>
      <c r="F84" s="108"/>
      <c r="G84" s="98"/>
      <c r="H84" s="99"/>
      <c r="I84" s="99"/>
      <c r="J84" s="109">
        <f>IF(SUM($J83:J83)=1,1,0)+I84</f>
        <v>1</v>
      </c>
      <c r="K84" s="109">
        <f>IF(SUM($J83:K83)=1,1,0)+J84</f>
        <v>1</v>
      </c>
      <c r="L84" s="109">
        <f>IF(SUM($J83:L83)=1,1,0)+K84</f>
        <v>1</v>
      </c>
      <c r="M84" s="109">
        <f>IF(SUM($J83:M83)=1,1,0)+L84</f>
        <v>1</v>
      </c>
      <c r="N84" s="109">
        <f>IF(SUM($J83:N83)=1,1,0)+M84</f>
        <v>1</v>
      </c>
      <c r="O84" s="109">
        <f>IF(SUM($J83:O83)=1,1,0)+N84</f>
        <v>1</v>
      </c>
      <c r="P84" s="109">
        <f>IF(SUM($J83:P83)=1,1,0)+O84</f>
        <v>1</v>
      </c>
      <c r="Q84" s="109">
        <f>IF(SUM($J83:Q83)=1,1,0)+P84</f>
        <v>1</v>
      </c>
      <c r="R84" s="109">
        <f>IF(SUM($J83:R83)=1,1,0)+Q84</f>
        <v>1</v>
      </c>
      <c r="S84" s="109">
        <f>IF(SUM($J83:S83)=1,1,0)+R84</f>
        <v>1</v>
      </c>
      <c r="T84" s="109">
        <f>IF(SUM($J83:T83)=1,1,0)+S84</f>
        <v>1</v>
      </c>
      <c r="U84" s="109">
        <f>IF(SUM($J83:U83)=1,1,0)+T84</f>
        <v>1</v>
      </c>
      <c r="V84" s="109">
        <f>IF(SUM($J83:V83)=1,1,0)+U84</f>
        <v>1</v>
      </c>
      <c r="W84" s="109">
        <f>IF(SUM($J83:W83)=1,1,0)+V84</f>
        <v>1</v>
      </c>
      <c r="X84" s="109">
        <f>IF(SUM($J83:X83)=1,1,0)+W84</f>
        <v>1</v>
      </c>
      <c r="Y84" s="109">
        <f>IF(SUM($J83:Y83)=1,1,0)+X84</f>
        <v>1</v>
      </c>
      <c r="Z84" s="109">
        <f>IF(SUM($J83:Z83)=1,1,0)+Y84</f>
        <v>1</v>
      </c>
      <c r="AA84" s="109">
        <f>IF(SUM($J83:AA83)=1,1,0)+Z84</f>
        <v>1</v>
      </c>
      <c r="AB84" s="109">
        <f>IF(SUM($J83:AB83)=1,1,0)+AA84</f>
        <v>1</v>
      </c>
      <c r="AC84" s="109">
        <f>IF(SUM($J83:AC83)=1,1,0)+AB84</f>
        <v>1</v>
      </c>
      <c r="AD84" s="109">
        <f>IF(SUM($J83:AD83)=1,1,0)+AC84</f>
        <v>1</v>
      </c>
      <c r="AE84" s="109">
        <f>IF(SUM($J83:AE83)=1,1,0)+AD84</f>
        <v>1</v>
      </c>
      <c r="AF84" s="109">
        <f>IF(SUM($J83:AF83)=1,1,0)+AE84</f>
        <v>1</v>
      </c>
      <c r="AG84" s="109">
        <f>IF(SUM($J83:AG83)=1,1,0)+AF84</f>
        <v>1</v>
      </c>
      <c r="AH84" s="109">
        <f>IF(SUM($J83:AH83)=1,1,0)+AG84</f>
        <v>1</v>
      </c>
      <c r="AI84" s="109">
        <f>IF(SUM($J83:AI83)=1,1,0)+AH84</f>
        <v>1</v>
      </c>
      <c r="AJ84" s="109">
        <f>IF(SUM($J83:AJ83)=1,1,0)+AI84</f>
        <v>1</v>
      </c>
      <c r="AK84" s="109">
        <f>IF(SUM($J83:AK83)=1,1,0)+AJ84</f>
        <v>1</v>
      </c>
      <c r="AL84" s="109">
        <f>IF(SUM($J83:AL83)=1,1,0)+AK84</f>
        <v>1</v>
      </c>
      <c r="AM84" s="109">
        <f>IF(SUM($J83:AM83)=1,1,0)+AL84</f>
        <v>1</v>
      </c>
      <c r="AN84" s="109"/>
      <c r="AO84" s="109"/>
      <c r="AP84" s="109"/>
      <c r="AQ84" s="109"/>
      <c r="AR84" s="109"/>
      <c r="AS84" s="109"/>
      <c r="AT84" s="109"/>
      <c r="AU84" s="109"/>
      <c r="AV84" s="109"/>
      <c r="AW84" s="109"/>
      <c r="AX84" s="109"/>
      <c r="AY84" s="109"/>
      <c r="AZ84" s="109"/>
      <c r="BA84" s="109"/>
      <c r="BB84" s="109"/>
      <c r="BC84" s="109"/>
      <c r="BD84" s="109"/>
      <c r="BE84" s="100"/>
      <c r="BF84" s="100"/>
      <c r="BG84" s="100"/>
      <c r="BH84" s="100"/>
    </row>
    <row r="85" spans="1:60" ht="15.65" customHeight="1" x14ac:dyDescent="0.5">
      <c r="A85" s="25"/>
      <c r="B85" s="25"/>
      <c r="C85" s="98" t="s">
        <v>117</v>
      </c>
      <c r="D85" s="99"/>
      <c r="E85" s="99"/>
      <c r="F85" s="106"/>
      <c r="G85" s="99"/>
      <c r="H85" s="99"/>
      <c r="I85" s="99"/>
      <c r="J85" s="107">
        <f>SUM($J80:J80)</f>
        <v>1</v>
      </c>
      <c r="K85" s="107">
        <f>SUM($J80:K80)</f>
        <v>2</v>
      </c>
      <c r="L85" s="107">
        <f>SUM($J80:L80)</f>
        <v>3</v>
      </c>
      <c r="M85" s="107">
        <f>SUM($J80:M80)</f>
        <v>4</v>
      </c>
      <c r="N85" s="107">
        <f>SUM($J80:N80)</f>
        <v>5</v>
      </c>
      <c r="O85" s="107">
        <f>SUM($J80:O80)</f>
        <v>6</v>
      </c>
      <c r="P85" s="107">
        <f>SUM($J80:P80)</f>
        <v>7</v>
      </c>
      <c r="Q85" s="107">
        <f>SUM($J80:Q80)</f>
        <v>8</v>
      </c>
      <c r="R85" s="107">
        <f>SUM($J80:R80)</f>
        <v>9</v>
      </c>
      <c r="S85" s="107">
        <f>SUM($J80:S80)</f>
        <v>10</v>
      </c>
      <c r="T85" s="107">
        <f>SUM($J80:T80)</f>
        <v>11</v>
      </c>
      <c r="U85" s="107">
        <f>SUM($J80:U80)</f>
        <v>12</v>
      </c>
      <c r="V85" s="107">
        <f>SUM($J80:V80)</f>
        <v>13</v>
      </c>
      <c r="W85" s="107">
        <f>SUM($J80:W80)</f>
        <v>14</v>
      </c>
      <c r="X85" s="107">
        <f>SUM($J80:X80)</f>
        <v>15</v>
      </c>
      <c r="Y85" s="107">
        <f>SUM($J80:Y80)</f>
        <v>16</v>
      </c>
      <c r="Z85" s="107">
        <f>SUM($J80:Z80)</f>
        <v>17</v>
      </c>
      <c r="AA85" s="107">
        <f>SUM($J80:AA80)</f>
        <v>18</v>
      </c>
      <c r="AB85" s="107">
        <f>SUM($J80:AB80)</f>
        <v>19</v>
      </c>
      <c r="AC85" s="107">
        <f>SUM($J80:AC80)</f>
        <v>20</v>
      </c>
      <c r="AD85" s="107">
        <f>SUM($J80:AD80)</f>
        <v>21</v>
      </c>
      <c r="AE85" s="107">
        <f>SUM($J80:AE80)</f>
        <v>22</v>
      </c>
      <c r="AF85" s="107">
        <f>SUM($J80:AF80)</f>
        <v>23</v>
      </c>
      <c r="AG85" s="107">
        <f>SUM($J80:AG80)</f>
        <v>24</v>
      </c>
      <c r="AH85" s="107">
        <f>SUM($J80:AH80)</f>
        <v>25</v>
      </c>
      <c r="AI85" s="107">
        <f>SUM($J80:AI80)</f>
        <v>26</v>
      </c>
      <c r="AJ85" s="107">
        <f>SUM($J80:AJ80)</f>
        <v>27</v>
      </c>
      <c r="AK85" s="107">
        <f>SUM($J80:AK80)</f>
        <v>28</v>
      </c>
      <c r="AL85" s="107">
        <f>SUM($J80:AL80)</f>
        <v>29</v>
      </c>
      <c r="AM85" s="107">
        <f>SUM($J80:AM80)</f>
        <v>30</v>
      </c>
      <c r="AN85" s="107"/>
      <c r="AO85" s="107"/>
      <c r="AP85" s="107"/>
      <c r="AQ85" s="107"/>
      <c r="AR85" s="107"/>
      <c r="AS85" s="107"/>
      <c r="AT85" s="107"/>
      <c r="AU85" s="107"/>
      <c r="AV85" s="107"/>
      <c r="AW85" s="107"/>
      <c r="AX85" s="107"/>
      <c r="AY85" s="107"/>
      <c r="AZ85" s="107"/>
      <c r="BA85" s="107"/>
      <c r="BB85" s="107"/>
      <c r="BC85" s="107"/>
      <c r="BD85" s="107"/>
      <c r="BE85" s="107"/>
      <c r="BF85" s="107"/>
      <c r="BG85" s="107"/>
      <c r="BH85" s="107"/>
    </row>
    <row r="86" spans="1:60" x14ac:dyDescent="0.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row>
    <row r="87" spans="1:60" x14ac:dyDescent="0.5">
      <c r="A87" s="25"/>
      <c r="B87" s="25"/>
      <c r="C87" s="25" t="s">
        <v>94</v>
      </c>
      <c r="D87" s="25" t="s">
        <v>1</v>
      </c>
      <c r="E87" s="25"/>
      <c r="G87" s="25"/>
      <c r="H87" s="105">
        <f>J87+NPV(discountrate,K87:AK87)</f>
        <v>0</v>
      </c>
      <c r="I87" s="25"/>
      <c r="J87" s="105">
        <f t="shared" ref="J87:AM87" si="54">INDEX(networkvolumes,MATCH($C87,volumesnames,0),MATCH(J$7,years,0))</f>
        <v>0</v>
      </c>
      <c r="K87" s="105">
        <f t="shared" si="54"/>
        <v>0</v>
      </c>
      <c r="L87" s="105">
        <f t="shared" si="54"/>
        <v>0</v>
      </c>
      <c r="M87" s="105">
        <f t="shared" si="54"/>
        <v>0</v>
      </c>
      <c r="N87" s="105">
        <f t="shared" si="54"/>
        <v>0</v>
      </c>
      <c r="O87" s="105">
        <f t="shared" si="54"/>
        <v>0</v>
      </c>
      <c r="P87" s="105">
        <f t="shared" si="54"/>
        <v>0</v>
      </c>
      <c r="Q87" s="105">
        <f t="shared" si="54"/>
        <v>0</v>
      </c>
      <c r="R87" s="105">
        <f t="shared" si="54"/>
        <v>0</v>
      </c>
      <c r="S87" s="105">
        <f t="shared" si="54"/>
        <v>0</v>
      </c>
      <c r="T87" s="105">
        <f t="shared" si="54"/>
        <v>0</v>
      </c>
      <c r="U87" s="105">
        <f t="shared" si="54"/>
        <v>0</v>
      </c>
      <c r="V87" s="105">
        <f t="shared" si="54"/>
        <v>0</v>
      </c>
      <c r="W87" s="105">
        <f t="shared" si="54"/>
        <v>0</v>
      </c>
      <c r="X87" s="105">
        <f t="shared" si="54"/>
        <v>0</v>
      </c>
      <c r="Y87" s="105">
        <f t="shared" si="54"/>
        <v>0</v>
      </c>
      <c r="Z87" s="105">
        <f t="shared" si="54"/>
        <v>0</v>
      </c>
      <c r="AA87" s="105">
        <f t="shared" si="54"/>
        <v>0</v>
      </c>
      <c r="AB87" s="105">
        <f t="shared" si="54"/>
        <v>0</v>
      </c>
      <c r="AC87" s="105">
        <f t="shared" si="54"/>
        <v>0</v>
      </c>
      <c r="AD87" s="105">
        <f t="shared" si="54"/>
        <v>0</v>
      </c>
      <c r="AE87" s="105">
        <f t="shared" si="54"/>
        <v>0</v>
      </c>
      <c r="AF87" s="105">
        <f t="shared" si="54"/>
        <v>0</v>
      </c>
      <c r="AG87" s="105">
        <f t="shared" si="54"/>
        <v>0</v>
      </c>
      <c r="AH87" s="105">
        <f t="shared" si="54"/>
        <v>0</v>
      </c>
      <c r="AI87" s="105">
        <f t="shared" si="54"/>
        <v>0</v>
      </c>
      <c r="AJ87" s="105">
        <f t="shared" si="54"/>
        <v>0</v>
      </c>
      <c r="AK87" s="105">
        <f t="shared" si="54"/>
        <v>0</v>
      </c>
      <c r="AL87" s="105">
        <f t="shared" si="54"/>
        <v>0</v>
      </c>
      <c r="AM87" s="105">
        <f t="shared" si="54"/>
        <v>0</v>
      </c>
      <c r="AN87" s="25"/>
      <c r="AO87" s="25"/>
      <c r="AP87" s="25"/>
      <c r="AQ87" s="25"/>
      <c r="AR87" s="25"/>
      <c r="AS87" s="25"/>
      <c r="AT87" s="25"/>
      <c r="AU87" s="25"/>
      <c r="AV87" s="25"/>
      <c r="AW87" s="25"/>
      <c r="AX87" s="25"/>
      <c r="AY87" s="25"/>
      <c r="AZ87" s="25"/>
    </row>
    <row r="88" spans="1:60" x14ac:dyDescent="0.5">
      <c r="A88" s="25"/>
      <c r="B88" s="25"/>
      <c r="C88" s="25" t="s">
        <v>147</v>
      </c>
      <c r="D88" s="25" t="s">
        <v>150</v>
      </c>
      <c r="E88" s="25"/>
      <c r="F88" s="106"/>
      <c r="G88" s="25"/>
      <c r="H88" s="25"/>
      <c r="I88" s="25"/>
      <c r="J88" s="105">
        <f>J97</f>
        <v>0</v>
      </c>
      <c r="K88" s="105">
        <f t="shared" ref="K88:AM88" si="55">K97</f>
        <v>0</v>
      </c>
      <c r="L88" s="105">
        <f t="shared" si="55"/>
        <v>0</v>
      </c>
      <c r="M88" s="105">
        <f t="shared" si="55"/>
        <v>0</v>
      </c>
      <c r="N88" s="105">
        <f t="shared" si="55"/>
        <v>0</v>
      </c>
      <c r="O88" s="105">
        <f t="shared" si="55"/>
        <v>0</v>
      </c>
      <c r="P88" s="105">
        <f t="shared" si="55"/>
        <v>0</v>
      </c>
      <c r="Q88" s="105">
        <f t="shared" si="55"/>
        <v>0</v>
      </c>
      <c r="R88" s="105">
        <f t="shared" si="55"/>
        <v>0</v>
      </c>
      <c r="S88" s="105">
        <f t="shared" si="55"/>
        <v>0</v>
      </c>
      <c r="T88" s="105">
        <f t="shared" si="55"/>
        <v>0</v>
      </c>
      <c r="U88" s="105">
        <f t="shared" si="55"/>
        <v>0</v>
      </c>
      <c r="V88" s="105">
        <f t="shared" si="55"/>
        <v>0</v>
      </c>
      <c r="W88" s="105">
        <f t="shared" si="55"/>
        <v>0</v>
      </c>
      <c r="X88" s="105">
        <f t="shared" si="55"/>
        <v>0</v>
      </c>
      <c r="Y88" s="105">
        <f t="shared" si="55"/>
        <v>0</v>
      </c>
      <c r="Z88" s="105">
        <f t="shared" si="55"/>
        <v>0</v>
      </c>
      <c r="AA88" s="105">
        <f t="shared" si="55"/>
        <v>0</v>
      </c>
      <c r="AB88" s="105">
        <f t="shared" si="55"/>
        <v>0</v>
      </c>
      <c r="AC88" s="105">
        <f t="shared" si="55"/>
        <v>0</v>
      </c>
      <c r="AD88" s="105">
        <f t="shared" si="55"/>
        <v>0</v>
      </c>
      <c r="AE88" s="105">
        <f t="shared" si="55"/>
        <v>0</v>
      </c>
      <c r="AF88" s="105">
        <f t="shared" si="55"/>
        <v>0</v>
      </c>
      <c r="AG88" s="105">
        <f t="shared" si="55"/>
        <v>0</v>
      </c>
      <c r="AH88" s="105">
        <f t="shared" si="55"/>
        <v>0</v>
      </c>
      <c r="AI88" s="105">
        <f t="shared" si="55"/>
        <v>0</v>
      </c>
      <c r="AJ88" s="105">
        <f t="shared" si="55"/>
        <v>0</v>
      </c>
      <c r="AK88" s="105">
        <f t="shared" si="55"/>
        <v>0</v>
      </c>
      <c r="AL88" s="105">
        <f t="shared" si="55"/>
        <v>0</v>
      </c>
      <c r="AM88" s="105">
        <f t="shared" si="55"/>
        <v>0</v>
      </c>
      <c r="AN88" s="25"/>
      <c r="AO88" s="25"/>
      <c r="AP88" s="25"/>
      <c r="AQ88" s="25"/>
      <c r="AR88" s="25"/>
      <c r="AS88" s="25"/>
      <c r="AT88" s="25"/>
      <c r="AU88" s="25"/>
      <c r="AV88" s="25"/>
      <c r="AW88" s="25"/>
      <c r="AX88" s="25"/>
      <c r="AY88" s="25"/>
      <c r="AZ88" s="25"/>
    </row>
    <row r="89" spans="1:60" x14ac:dyDescent="0.5">
      <c r="A89" s="25"/>
      <c r="B89" s="25"/>
      <c r="C89" s="25" t="s">
        <v>23</v>
      </c>
      <c r="D89" s="25" t="s">
        <v>131</v>
      </c>
      <c r="E89" s="25"/>
      <c r="F89" s="106" t="s">
        <v>129</v>
      </c>
      <c r="G89" s="25"/>
      <c r="I89" s="25"/>
      <c r="J89" s="104" cm="1">
        <f t="array" ref="J89">IF(J84=0,0,INDEX(capex,MATCH($B15,assetnames,0),J84))</f>
        <v>0</v>
      </c>
      <c r="K89" s="104" cm="1">
        <f t="array" ref="K89">IF(K84=0,0,INDEX(capex,MATCH($B15,assetnames,0),K84))</f>
        <v>0</v>
      </c>
      <c r="L89" s="104" cm="1">
        <f t="array" ref="L89">IF(L84=0,0,INDEX(capex,MATCH($B15,assetnames,0),L84))</f>
        <v>0</v>
      </c>
      <c r="M89" s="104" cm="1">
        <f t="array" ref="M89">IF(M84=0,0,INDEX(capex,MATCH($B15,assetnames,0),M84))</f>
        <v>0</v>
      </c>
      <c r="N89" s="104" cm="1">
        <f t="array" ref="N89">IF(N84=0,0,INDEX(capex,MATCH($B15,assetnames,0),N84))</f>
        <v>0</v>
      </c>
      <c r="O89" s="104" cm="1">
        <f t="array" ref="O89">IF(O84=0,0,INDEX(capex,MATCH($B15,assetnames,0),O84))</f>
        <v>0</v>
      </c>
      <c r="P89" s="104" cm="1">
        <f t="array" ref="P89">IF(P84=0,0,INDEX(capex,MATCH($B15,assetnames,0),P84))</f>
        <v>0</v>
      </c>
      <c r="Q89" s="104" cm="1">
        <f t="array" ref="Q89">IF(Q84=0,0,INDEX(capex,MATCH($B15,assetnames,0),Q84))</f>
        <v>0</v>
      </c>
      <c r="R89" s="104" cm="1">
        <f t="array" ref="R89">IF(R84=0,0,INDEX(capex,MATCH($B15,assetnames,0),R84))</f>
        <v>0</v>
      </c>
      <c r="S89" s="104" cm="1">
        <f t="array" ref="S89">IF(S84=0,0,INDEX(capex,MATCH($B15,assetnames,0),S84))</f>
        <v>0</v>
      </c>
      <c r="T89" s="104" cm="1">
        <f t="array" ref="T89">IF(T84=0,0,INDEX(capex,MATCH($B15,assetnames,0),T84))</f>
        <v>0</v>
      </c>
      <c r="U89" s="104" cm="1">
        <f t="array" ref="U89">IF(U84=0,0,INDEX(capex,MATCH($B15,assetnames,0),U84))</f>
        <v>0</v>
      </c>
      <c r="V89" s="104" cm="1">
        <f t="array" ref="V89">IF(V84=0,0,INDEX(capex,MATCH($B15,assetnames,0),V84))</f>
        <v>0</v>
      </c>
      <c r="W89" s="104" cm="1">
        <f t="array" ref="W89">IF(W84=0,0,INDEX(capex,MATCH($B15,assetnames,0),W84))</f>
        <v>0</v>
      </c>
      <c r="X89" s="104" cm="1">
        <f t="array" ref="X89">IF(X84=0,0,INDEX(capex,MATCH($B15,assetnames,0),X84))</f>
        <v>0</v>
      </c>
      <c r="Y89" s="104" cm="1">
        <f t="array" ref="Y89">IF(Y84=0,0,INDEX(capex,MATCH($B15,assetnames,0),Y84))</f>
        <v>0</v>
      </c>
      <c r="Z89" s="104" cm="1">
        <f t="array" ref="Z89">IF(Z84=0,0,INDEX(capex,MATCH($B15,assetnames,0),Z84))</f>
        <v>0</v>
      </c>
      <c r="AA89" s="104" cm="1">
        <f t="array" ref="AA89">IF(AA84=0,0,INDEX(capex,MATCH($B15,assetnames,0),AA84))</f>
        <v>0</v>
      </c>
      <c r="AB89" s="104" cm="1">
        <f t="array" ref="AB89">IF(AB84=0,0,INDEX(capex,MATCH($B15,assetnames,0),AB84))</f>
        <v>0</v>
      </c>
      <c r="AC89" s="104" cm="1">
        <f t="array" ref="AC89">IF(AC84=0,0,INDEX(capex,MATCH($B15,assetnames,0),AC84))</f>
        <v>0</v>
      </c>
      <c r="AD89" s="104" cm="1">
        <f t="array" ref="AD89">IF(AD84=0,0,INDEX(capex,MATCH($B15,assetnames,0),AD84))</f>
        <v>0</v>
      </c>
      <c r="AE89" s="104" cm="1">
        <f t="array" ref="AE89">IF(AE84=0,0,INDEX(capex,MATCH($B15,assetnames,0),AE84))</f>
        <v>0</v>
      </c>
      <c r="AF89" s="104" cm="1">
        <f t="array" ref="AF89">IF(AF84=0,0,INDEX(capex,MATCH($B15,assetnames,0),AF84))</f>
        <v>0</v>
      </c>
      <c r="AG89" s="104" cm="1">
        <f t="array" ref="AG89">IF(AG84=0,0,INDEX(capex,MATCH($B15,assetnames,0),AG84))</f>
        <v>0</v>
      </c>
      <c r="AH89" s="104" cm="1">
        <f t="array" ref="AH89">IF(AH84=0,0,INDEX(capex,MATCH($B15,assetnames,0),AH84))</f>
        <v>0</v>
      </c>
      <c r="AI89" s="104" cm="1">
        <f t="array" ref="AI89">IF(AI84=0,0,INDEX(capex,MATCH($B15,assetnames,0),AI84))</f>
        <v>0</v>
      </c>
      <c r="AJ89" s="104" cm="1">
        <f t="array" ref="AJ89">IF(AJ84=0,0,INDEX(capex,MATCH($B15,assetnames,0),AJ84))</f>
        <v>0</v>
      </c>
      <c r="AK89" s="104" cm="1">
        <f t="array" ref="AK89">IF(AK84=0,0,INDEX(capex,MATCH($B15,assetnames,0),AK84))</f>
        <v>0</v>
      </c>
      <c r="AL89" s="104" cm="1">
        <f t="array" ref="AL89">IF(AL84=0,0,INDEX(capex,MATCH($B15,assetnames,0),AL84))</f>
        <v>0</v>
      </c>
      <c r="AM89" s="104" cm="1">
        <f t="array" ref="AM89">IF(AM84=0,0,INDEX(capex,MATCH($B15,assetnames,0),AM84))</f>
        <v>0</v>
      </c>
      <c r="AN89" s="25"/>
      <c r="AO89" s="25"/>
      <c r="AP89" s="25"/>
      <c r="AQ89" s="25"/>
      <c r="AR89" s="25"/>
      <c r="AS89" s="25"/>
      <c r="AT89" s="25"/>
      <c r="AU89" s="25"/>
      <c r="AV89" s="25"/>
      <c r="AW89" s="25"/>
      <c r="AX89" s="25"/>
      <c r="AY89" s="25"/>
      <c r="AZ89" s="25"/>
    </row>
    <row r="90" spans="1:60" x14ac:dyDescent="0.5">
      <c r="A90" s="25"/>
      <c r="B90" s="25"/>
      <c r="C90" s="25" t="s">
        <v>24</v>
      </c>
      <c r="D90" s="25" t="s">
        <v>131</v>
      </c>
      <c r="E90" s="25"/>
      <c r="F90" s="121" t="str">
        <f>IF(H91=0,"",INDEX($J$7:$AM$7,1,MATCH(1,$J83:$AM83,0)))</f>
        <v/>
      </c>
      <c r="G90" s="25"/>
      <c r="H90" s="25"/>
      <c r="I90" s="25"/>
      <c r="J90" s="104">
        <f t="shared" ref="J90:AM90" si="56">IF(J80=1,INDEX(opex,MATCH($B15,assetnames,0),J85),0)</f>
        <v>0</v>
      </c>
      <c r="K90" s="104">
        <f t="shared" si="56"/>
        <v>0</v>
      </c>
      <c r="L90" s="104">
        <f t="shared" si="56"/>
        <v>0</v>
      </c>
      <c r="M90" s="104">
        <f t="shared" si="56"/>
        <v>0</v>
      </c>
      <c r="N90" s="104">
        <f t="shared" si="56"/>
        <v>0</v>
      </c>
      <c r="O90" s="104">
        <f t="shared" si="56"/>
        <v>0</v>
      </c>
      <c r="P90" s="104">
        <f t="shared" si="56"/>
        <v>0</v>
      </c>
      <c r="Q90" s="104">
        <f t="shared" si="56"/>
        <v>0</v>
      </c>
      <c r="R90" s="104">
        <f t="shared" si="56"/>
        <v>0</v>
      </c>
      <c r="S90" s="104">
        <f t="shared" si="56"/>
        <v>0</v>
      </c>
      <c r="T90" s="104">
        <f t="shared" si="56"/>
        <v>0</v>
      </c>
      <c r="U90" s="104">
        <f t="shared" si="56"/>
        <v>0</v>
      </c>
      <c r="V90" s="104">
        <f t="shared" si="56"/>
        <v>0</v>
      </c>
      <c r="W90" s="104">
        <f t="shared" si="56"/>
        <v>0</v>
      </c>
      <c r="X90" s="104">
        <f t="shared" si="56"/>
        <v>0</v>
      </c>
      <c r="Y90" s="104">
        <f t="shared" si="56"/>
        <v>0</v>
      </c>
      <c r="Z90" s="104">
        <f t="shared" si="56"/>
        <v>0</v>
      </c>
      <c r="AA90" s="104">
        <f t="shared" si="56"/>
        <v>0</v>
      </c>
      <c r="AB90" s="104">
        <f t="shared" si="56"/>
        <v>0</v>
      </c>
      <c r="AC90" s="104">
        <f t="shared" si="56"/>
        <v>0</v>
      </c>
      <c r="AD90" s="104">
        <f t="shared" si="56"/>
        <v>0</v>
      </c>
      <c r="AE90" s="104">
        <f t="shared" si="56"/>
        <v>0</v>
      </c>
      <c r="AF90" s="104">
        <f t="shared" si="56"/>
        <v>0</v>
      </c>
      <c r="AG90" s="104">
        <f t="shared" si="56"/>
        <v>0</v>
      </c>
      <c r="AH90" s="104">
        <f t="shared" si="56"/>
        <v>0</v>
      </c>
      <c r="AI90" s="104">
        <f t="shared" si="56"/>
        <v>0</v>
      </c>
      <c r="AJ90" s="104">
        <f t="shared" si="56"/>
        <v>0</v>
      </c>
      <c r="AK90" s="104">
        <f t="shared" si="56"/>
        <v>0</v>
      </c>
      <c r="AL90" s="104">
        <f t="shared" si="56"/>
        <v>0</v>
      </c>
      <c r="AM90" s="104">
        <f t="shared" si="56"/>
        <v>0</v>
      </c>
      <c r="AN90" s="25"/>
      <c r="AO90" s="25"/>
      <c r="AP90" s="25"/>
      <c r="AQ90" s="25"/>
      <c r="AR90" s="25"/>
      <c r="AS90" s="25"/>
      <c r="AT90" s="25"/>
      <c r="AU90" s="25"/>
      <c r="AV90" s="25"/>
      <c r="AW90" s="25"/>
      <c r="AX90" s="25"/>
      <c r="AY90" s="25"/>
      <c r="AZ90" s="25"/>
    </row>
    <row r="91" spans="1:60" s="101" customFormat="1" x14ac:dyDescent="0.5">
      <c r="A91" s="26"/>
      <c r="B91" s="26"/>
      <c r="C91" s="26" t="s">
        <v>25</v>
      </c>
      <c r="D91" s="26" t="s">
        <v>131</v>
      </c>
      <c r="E91" s="26"/>
      <c r="F91" s="26"/>
      <c r="G91" s="26"/>
      <c r="H91" s="122">
        <f>J91+NPV(discountrate,K91:AK91)</f>
        <v>0</v>
      </c>
      <c r="I91" s="26"/>
      <c r="J91" s="112">
        <f>SUM(J88:J90)</f>
        <v>0</v>
      </c>
      <c r="K91" s="112">
        <f>SUM(K88:K90)</f>
        <v>0</v>
      </c>
      <c r="L91" s="112">
        <f t="shared" ref="L91:AM91" si="57">SUM(L88:L90)</f>
        <v>0</v>
      </c>
      <c r="M91" s="112">
        <f t="shared" si="57"/>
        <v>0</v>
      </c>
      <c r="N91" s="112">
        <f t="shared" si="57"/>
        <v>0</v>
      </c>
      <c r="O91" s="112">
        <f t="shared" si="57"/>
        <v>0</v>
      </c>
      <c r="P91" s="112">
        <f t="shared" si="57"/>
        <v>0</v>
      </c>
      <c r="Q91" s="112">
        <f t="shared" si="57"/>
        <v>0</v>
      </c>
      <c r="R91" s="112">
        <f t="shared" si="57"/>
        <v>0</v>
      </c>
      <c r="S91" s="112">
        <f t="shared" si="57"/>
        <v>0</v>
      </c>
      <c r="T91" s="112">
        <f t="shared" si="57"/>
        <v>0</v>
      </c>
      <c r="U91" s="112">
        <f t="shared" si="57"/>
        <v>0</v>
      </c>
      <c r="V91" s="112">
        <f t="shared" si="57"/>
        <v>0</v>
      </c>
      <c r="W91" s="112">
        <f t="shared" si="57"/>
        <v>0</v>
      </c>
      <c r="X91" s="112">
        <f t="shared" si="57"/>
        <v>0</v>
      </c>
      <c r="Y91" s="112">
        <f t="shared" si="57"/>
        <v>0</v>
      </c>
      <c r="Z91" s="112">
        <f t="shared" si="57"/>
        <v>0</v>
      </c>
      <c r="AA91" s="112">
        <f t="shared" si="57"/>
        <v>0</v>
      </c>
      <c r="AB91" s="112">
        <f t="shared" si="57"/>
        <v>0</v>
      </c>
      <c r="AC91" s="112">
        <f t="shared" si="57"/>
        <v>0</v>
      </c>
      <c r="AD91" s="112">
        <f t="shared" si="57"/>
        <v>0</v>
      </c>
      <c r="AE91" s="112">
        <f t="shared" si="57"/>
        <v>0</v>
      </c>
      <c r="AF91" s="112">
        <f t="shared" si="57"/>
        <v>0</v>
      </c>
      <c r="AG91" s="112">
        <f t="shared" si="57"/>
        <v>0</v>
      </c>
      <c r="AH91" s="112">
        <f t="shared" si="57"/>
        <v>0</v>
      </c>
      <c r="AI91" s="112">
        <f t="shared" si="57"/>
        <v>0</v>
      </c>
      <c r="AJ91" s="112">
        <f t="shared" si="57"/>
        <v>0</v>
      </c>
      <c r="AK91" s="112">
        <f t="shared" si="57"/>
        <v>0</v>
      </c>
      <c r="AL91" s="112">
        <f t="shared" si="57"/>
        <v>0</v>
      </c>
      <c r="AM91" s="112">
        <f t="shared" si="57"/>
        <v>0</v>
      </c>
      <c r="AN91" s="26"/>
      <c r="AO91" s="26"/>
      <c r="AP91" s="26"/>
      <c r="AQ91" s="26"/>
      <c r="AR91" s="26"/>
      <c r="AS91" s="26"/>
      <c r="AT91" s="26"/>
      <c r="AU91" s="26"/>
      <c r="AV91" s="26"/>
      <c r="AW91" s="26"/>
      <c r="AX91" s="26"/>
      <c r="AY91" s="26"/>
      <c r="AZ91" s="26"/>
    </row>
    <row r="92" spans="1:60" s="101" customFormat="1" x14ac:dyDescent="0.5">
      <c r="A92" s="26"/>
      <c r="B92" s="26"/>
      <c r="C92" s="26"/>
      <c r="D92" s="26"/>
      <c r="E92" s="26"/>
      <c r="F92" s="26"/>
      <c r="G92" s="26"/>
      <c r="H92" s="155"/>
      <c r="I92" s="2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26"/>
      <c r="AO92" s="26"/>
      <c r="AP92" s="26"/>
      <c r="AQ92" s="26"/>
      <c r="AR92" s="26"/>
      <c r="AS92" s="26"/>
      <c r="AT92" s="26"/>
      <c r="AU92" s="26"/>
      <c r="AV92" s="26"/>
      <c r="AW92" s="26"/>
      <c r="AX92" s="26"/>
      <c r="AY92" s="26"/>
      <c r="AZ92" s="26"/>
    </row>
    <row r="93" spans="1:60" s="101" customFormat="1" x14ac:dyDescent="0.5">
      <c r="A93" s="26"/>
      <c r="B93" s="26"/>
      <c r="C93" s="26" t="s">
        <v>147</v>
      </c>
      <c r="D93" s="26"/>
      <c r="E93" s="26"/>
      <c r="F93" s="26"/>
      <c r="G93" s="26"/>
      <c r="H93" s="157"/>
      <c r="I93" s="26"/>
      <c r="J93" s="157"/>
      <c r="K93" s="157"/>
      <c r="L93" s="157"/>
      <c r="M93" s="157"/>
      <c r="N93" s="157"/>
      <c r="O93" s="157"/>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26"/>
      <c r="AO93" s="26"/>
      <c r="AP93" s="26"/>
      <c r="AQ93" s="26"/>
      <c r="AR93" s="26"/>
      <c r="AS93" s="26"/>
      <c r="AT93" s="26"/>
      <c r="AU93" s="26"/>
      <c r="AV93" s="26"/>
      <c r="AW93" s="26"/>
      <c r="AX93" s="26"/>
      <c r="AY93" s="26"/>
      <c r="AZ93" s="26"/>
    </row>
    <row r="94" spans="1:60" s="101" customFormat="1" x14ac:dyDescent="0.5">
      <c r="A94" s="26"/>
      <c r="B94" s="26"/>
      <c r="C94" s="26"/>
      <c r="D94" s="26"/>
      <c r="E94" s="26"/>
      <c r="F94" s="26"/>
      <c r="G94" s="26"/>
      <c r="H94" s="157"/>
      <c r="I94" s="26"/>
      <c r="J94" s="157"/>
      <c r="K94" s="157"/>
      <c r="L94" s="157"/>
      <c r="M94" s="157"/>
      <c r="N94" s="157"/>
      <c r="O94" s="157"/>
      <c r="P94" s="157"/>
      <c r="Q94" s="157"/>
      <c r="R94" s="157"/>
      <c r="S94" s="157"/>
      <c r="T94" s="157"/>
      <c r="U94" s="157"/>
      <c r="V94" s="157"/>
      <c r="W94" s="157"/>
      <c r="X94" s="157"/>
      <c r="Y94" s="157"/>
      <c r="Z94" s="157"/>
      <c r="AA94" s="157"/>
      <c r="AB94" s="157"/>
      <c r="AC94" s="157"/>
      <c r="AD94" s="157"/>
      <c r="AE94" s="157"/>
      <c r="AF94" s="157"/>
      <c r="AG94" s="157"/>
      <c r="AH94" s="157"/>
      <c r="AI94" s="157"/>
      <c r="AJ94" s="157"/>
      <c r="AK94" s="157"/>
      <c r="AL94" s="157"/>
      <c r="AM94" s="157"/>
      <c r="AN94" s="26"/>
      <c r="AO94" s="26"/>
      <c r="AP94" s="26"/>
      <c r="AQ94" s="26"/>
      <c r="AR94" s="26"/>
      <c r="AS94" s="26"/>
      <c r="AT94" s="26"/>
      <c r="AU94" s="26"/>
      <c r="AV94" s="26"/>
      <c r="AW94" s="26"/>
      <c r="AX94" s="26"/>
      <c r="AY94" s="26"/>
      <c r="AZ94" s="26"/>
    </row>
    <row r="95" spans="1:60" s="101" customFormat="1" x14ac:dyDescent="0.5">
      <c r="A95" s="26"/>
      <c r="B95" s="26"/>
      <c r="C95" s="25" t="s">
        <v>94</v>
      </c>
      <c r="D95" s="25" t="s">
        <v>35</v>
      </c>
      <c r="E95" s="26"/>
      <c r="F95" s="26"/>
      <c r="G95" s="26"/>
      <c r="H95" s="157"/>
      <c r="I95" s="26"/>
      <c r="J95" s="105">
        <f t="shared" ref="J95:AM95" si="58">INDEX(networkvolumes,MATCH($C95,volumesnames,0),MATCH(J$7,years,0))</f>
        <v>0</v>
      </c>
      <c r="K95" s="105">
        <f t="shared" si="58"/>
        <v>0</v>
      </c>
      <c r="L95" s="105">
        <f t="shared" si="58"/>
        <v>0</v>
      </c>
      <c r="M95" s="105">
        <f t="shared" si="58"/>
        <v>0</v>
      </c>
      <c r="N95" s="105">
        <f t="shared" si="58"/>
        <v>0</v>
      </c>
      <c r="O95" s="105">
        <f t="shared" si="58"/>
        <v>0</v>
      </c>
      <c r="P95" s="105">
        <f t="shared" si="58"/>
        <v>0</v>
      </c>
      <c r="Q95" s="105">
        <f t="shared" si="58"/>
        <v>0</v>
      </c>
      <c r="R95" s="105">
        <f t="shared" si="58"/>
        <v>0</v>
      </c>
      <c r="S95" s="105">
        <f t="shared" si="58"/>
        <v>0</v>
      </c>
      <c r="T95" s="105">
        <f t="shared" si="58"/>
        <v>0</v>
      </c>
      <c r="U95" s="105">
        <f t="shared" si="58"/>
        <v>0</v>
      </c>
      <c r="V95" s="105">
        <f t="shared" si="58"/>
        <v>0</v>
      </c>
      <c r="W95" s="105">
        <f t="shared" si="58"/>
        <v>0</v>
      </c>
      <c r="X95" s="105">
        <f t="shared" si="58"/>
        <v>0</v>
      </c>
      <c r="Y95" s="105">
        <f t="shared" si="58"/>
        <v>0</v>
      </c>
      <c r="Z95" s="105">
        <f t="shared" si="58"/>
        <v>0</v>
      </c>
      <c r="AA95" s="105">
        <f t="shared" si="58"/>
        <v>0</v>
      </c>
      <c r="AB95" s="105">
        <f t="shared" si="58"/>
        <v>0</v>
      </c>
      <c r="AC95" s="105">
        <f t="shared" si="58"/>
        <v>0</v>
      </c>
      <c r="AD95" s="105">
        <f t="shared" si="58"/>
        <v>0</v>
      </c>
      <c r="AE95" s="105">
        <f t="shared" si="58"/>
        <v>0</v>
      </c>
      <c r="AF95" s="105">
        <f t="shared" si="58"/>
        <v>0</v>
      </c>
      <c r="AG95" s="105">
        <f t="shared" si="58"/>
        <v>0</v>
      </c>
      <c r="AH95" s="105">
        <f t="shared" si="58"/>
        <v>0</v>
      </c>
      <c r="AI95" s="105">
        <f t="shared" si="58"/>
        <v>0</v>
      </c>
      <c r="AJ95" s="105">
        <f t="shared" si="58"/>
        <v>0</v>
      </c>
      <c r="AK95" s="105">
        <f t="shared" si="58"/>
        <v>0</v>
      </c>
      <c r="AL95" s="105">
        <f t="shared" si="58"/>
        <v>0</v>
      </c>
      <c r="AM95" s="105">
        <f t="shared" si="58"/>
        <v>0</v>
      </c>
      <c r="AN95" s="26"/>
      <c r="AO95" s="26"/>
      <c r="AP95" s="26"/>
      <c r="AQ95" s="26"/>
      <c r="AR95" s="26"/>
      <c r="AS95" s="26"/>
      <c r="AT95" s="26"/>
      <c r="AU95" s="26"/>
      <c r="AV95" s="26"/>
      <c r="AW95" s="26"/>
      <c r="AX95" s="26"/>
      <c r="AY95" s="26"/>
      <c r="AZ95" s="26"/>
    </row>
    <row r="96" spans="1:60" s="101" customFormat="1" x14ac:dyDescent="0.5">
      <c r="A96" s="26"/>
      <c r="B96" s="26"/>
      <c r="C96" s="25" t="s">
        <v>148</v>
      </c>
      <c r="D96" s="25" t="s">
        <v>150</v>
      </c>
      <c r="E96" s="26"/>
      <c r="F96" s="26"/>
      <c r="G96" s="26"/>
      <c r="H96" s="157"/>
      <c r="I96" s="26"/>
      <c r="J96" s="105">
        <f t="shared" ref="J96:AM96" si="59">INDEX(networkexistingcost,MATCH(J$7,years,0))</f>
        <v>0</v>
      </c>
      <c r="K96" s="105">
        <f t="shared" si="59"/>
        <v>0</v>
      </c>
      <c r="L96" s="105">
        <f t="shared" si="59"/>
        <v>0</v>
      </c>
      <c r="M96" s="105">
        <f t="shared" si="59"/>
        <v>0</v>
      </c>
      <c r="N96" s="105">
        <f t="shared" si="59"/>
        <v>0</v>
      </c>
      <c r="O96" s="105">
        <f t="shared" si="59"/>
        <v>0</v>
      </c>
      <c r="P96" s="105">
        <f t="shared" si="59"/>
        <v>0</v>
      </c>
      <c r="Q96" s="105">
        <f t="shared" si="59"/>
        <v>0</v>
      </c>
      <c r="R96" s="105">
        <f t="shared" si="59"/>
        <v>0</v>
      </c>
      <c r="S96" s="105">
        <f t="shared" si="59"/>
        <v>0</v>
      </c>
      <c r="T96" s="105">
        <f t="shared" si="59"/>
        <v>0</v>
      </c>
      <c r="U96" s="105">
        <f t="shared" si="59"/>
        <v>0</v>
      </c>
      <c r="V96" s="105">
        <f t="shared" si="59"/>
        <v>0</v>
      </c>
      <c r="W96" s="105">
        <f t="shared" si="59"/>
        <v>0</v>
      </c>
      <c r="X96" s="105">
        <f t="shared" si="59"/>
        <v>0</v>
      </c>
      <c r="Y96" s="105">
        <f t="shared" si="59"/>
        <v>0</v>
      </c>
      <c r="Z96" s="105">
        <f t="shared" si="59"/>
        <v>0</v>
      </c>
      <c r="AA96" s="105">
        <f t="shared" si="59"/>
        <v>0</v>
      </c>
      <c r="AB96" s="105">
        <f t="shared" si="59"/>
        <v>0</v>
      </c>
      <c r="AC96" s="105">
        <f t="shared" si="59"/>
        <v>0</v>
      </c>
      <c r="AD96" s="105">
        <f t="shared" si="59"/>
        <v>0</v>
      </c>
      <c r="AE96" s="105">
        <f t="shared" si="59"/>
        <v>0</v>
      </c>
      <c r="AF96" s="105">
        <f t="shared" si="59"/>
        <v>0</v>
      </c>
      <c r="AG96" s="105">
        <f t="shared" si="59"/>
        <v>0</v>
      </c>
      <c r="AH96" s="105">
        <f t="shared" si="59"/>
        <v>0</v>
      </c>
      <c r="AI96" s="105">
        <f t="shared" si="59"/>
        <v>0</v>
      </c>
      <c r="AJ96" s="105">
        <f t="shared" si="59"/>
        <v>0</v>
      </c>
      <c r="AK96" s="105">
        <f t="shared" si="59"/>
        <v>0</v>
      </c>
      <c r="AL96" s="105">
        <f t="shared" si="59"/>
        <v>0</v>
      </c>
      <c r="AM96" s="105">
        <f t="shared" si="59"/>
        <v>0</v>
      </c>
      <c r="AN96" s="26"/>
      <c r="AO96" s="26"/>
      <c r="AP96" s="26"/>
      <c r="AQ96" s="26"/>
      <c r="AR96" s="26"/>
      <c r="AS96" s="26"/>
      <c r="AT96" s="26"/>
      <c r="AU96" s="26"/>
      <c r="AV96" s="26"/>
      <c r="AW96" s="26"/>
      <c r="AX96" s="26"/>
      <c r="AY96" s="26"/>
      <c r="AZ96" s="26"/>
    </row>
    <row r="97" spans="1:60" s="101" customFormat="1" x14ac:dyDescent="0.5">
      <c r="A97" s="26"/>
      <c r="B97" s="26"/>
      <c r="C97" s="26" t="s">
        <v>149</v>
      </c>
      <c r="D97" s="26" t="s">
        <v>150</v>
      </c>
      <c r="E97" s="26"/>
      <c r="F97" s="26"/>
      <c r="G97" s="26"/>
      <c r="H97" s="105">
        <f>J97+NPV(discountrate,K97:AM97)</f>
        <v>0</v>
      </c>
      <c r="I97" s="26"/>
      <c r="J97" s="105">
        <f>J95*J96</f>
        <v>0</v>
      </c>
      <c r="K97" s="105">
        <f t="shared" ref="K97:AM97" si="60">K95*K96</f>
        <v>0</v>
      </c>
      <c r="L97" s="105">
        <f t="shared" si="60"/>
        <v>0</v>
      </c>
      <c r="M97" s="105">
        <f t="shared" si="60"/>
        <v>0</v>
      </c>
      <c r="N97" s="105">
        <f t="shared" si="60"/>
        <v>0</v>
      </c>
      <c r="O97" s="105">
        <f t="shared" si="60"/>
        <v>0</v>
      </c>
      <c r="P97" s="105">
        <f t="shared" si="60"/>
        <v>0</v>
      </c>
      <c r="Q97" s="105">
        <f t="shared" si="60"/>
        <v>0</v>
      </c>
      <c r="R97" s="105">
        <f t="shared" si="60"/>
        <v>0</v>
      </c>
      <c r="S97" s="105">
        <f t="shared" si="60"/>
        <v>0</v>
      </c>
      <c r="T97" s="105">
        <f t="shared" si="60"/>
        <v>0</v>
      </c>
      <c r="U97" s="105">
        <f t="shared" si="60"/>
        <v>0</v>
      </c>
      <c r="V97" s="105">
        <f t="shared" si="60"/>
        <v>0</v>
      </c>
      <c r="W97" s="105">
        <f t="shared" si="60"/>
        <v>0</v>
      </c>
      <c r="X97" s="105">
        <f t="shared" si="60"/>
        <v>0</v>
      </c>
      <c r="Y97" s="105">
        <f t="shared" si="60"/>
        <v>0</v>
      </c>
      <c r="Z97" s="105">
        <f t="shared" si="60"/>
        <v>0</v>
      </c>
      <c r="AA97" s="105">
        <f t="shared" si="60"/>
        <v>0</v>
      </c>
      <c r="AB97" s="105">
        <f t="shared" si="60"/>
        <v>0</v>
      </c>
      <c r="AC97" s="105">
        <f t="shared" si="60"/>
        <v>0</v>
      </c>
      <c r="AD97" s="105">
        <f t="shared" si="60"/>
        <v>0</v>
      </c>
      <c r="AE97" s="105">
        <f t="shared" si="60"/>
        <v>0</v>
      </c>
      <c r="AF97" s="105">
        <f t="shared" si="60"/>
        <v>0</v>
      </c>
      <c r="AG97" s="105">
        <f t="shared" si="60"/>
        <v>0</v>
      </c>
      <c r="AH97" s="105">
        <f t="shared" si="60"/>
        <v>0</v>
      </c>
      <c r="AI97" s="105">
        <f t="shared" si="60"/>
        <v>0</v>
      </c>
      <c r="AJ97" s="105">
        <f t="shared" si="60"/>
        <v>0</v>
      </c>
      <c r="AK97" s="105">
        <f t="shared" si="60"/>
        <v>0</v>
      </c>
      <c r="AL97" s="105">
        <f t="shared" si="60"/>
        <v>0</v>
      </c>
      <c r="AM97" s="105">
        <f t="shared" si="60"/>
        <v>0</v>
      </c>
      <c r="AN97" s="26"/>
      <c r="AO97" s="26"/>
      <c r="AP97" s="26"/>
      <c r="AQ97" s="26"/>
      <c r="AR97" s="26"/>
      <c r="AS97" s="26"/>
      <c r="AT97" s="26"/>
      <c r="AU97" s="26"/>
      <c r="AV97" s="26"/>
      <c r="AW97" s="26"/>
      <c r="AX97" s="26"/>
      <c r="AY97" s="26"/>
      <c r="AZ97" s="26"/>
    </row>
    <row r="98" spans="1:60" x14ac:dyDescent="0.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row>
    <row r="99" spans="1:60" ht="19.5" x14ac:dyDescent="0.55000000000000004">
      <c r="A99" s="25"/>
      <c r="C99" s="97" t="s">
        <v>96</v>
      </c>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row>
    <row r="100" spans="1:60" x14ac:dyDescent="0.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row>
    <row r="101" spans="1:60" x14ac:dyDescent="0.5">
      <c r="A101" s="25"/>
      <c r="B101" s="25"/>
      <c r="C101" s="98" t="s">
        <v>21</v>
      </c>
      <c r="D101" s="99"/>
      <c r="E101" s="99"/>
      <c r="F101" s="25"/>
      <c r="G101" s="25"/>
      <c r="H101" s="99"/>
      <c r="I101" s="25"/>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25"/>
      <c r="AO101" s="25"/>
      <c r="AP101" s="25"/>
      <c r="AQ101" s="25"/>
      <c r="AR101" s="25"/>
      <c r="AS101" s="25"/>
      <c r="AT101" s="25"/>
      <c r="AU101" s="25"/>
      <c r="AV101" s="25"/>
      <c r="AW101" s="25"/>
      <c r="AX101" s="25"/>
      <c r="AY101" s="25"/>
      <c r="AZ101" s="25"/>
    </row>
    <row r="102" spans="1:60" x14ac:dyDescent="0.5">
      <c r="A102" s="25"/>
      <c r="B102" s="25"/>
      <c r="C102" s="98" t="s">
        <v>18</v>
      </c>
      <c r="D102" s="98"/>
      <c r="E102" s="98"/>
      <c r="F102" s="25"/>
      <c r="G102" s="25"/>
      <c r="H102" s="99"/>
      <c r="I102" s="25"/>
      <c r="J102" s="107">
        <f t="shared" ref="J102:AM102" si="61">IF(J109&lt;INDEX(tippingpoints,MATCH($B15,tippingpointnames,0),1),0,1)</f>
        <v>1</v>
      </c>
      <c r="K102" s="107">
        <f t="shared" si="61"/>
        <v>1</v>
      </c>
      <c r="L102" s="107">
        <f t="shared" si="61"/>
        <v>1</v>
      </c>
      <c r="M102" s="107">
        <f t="shared" si="61"/>
        <v>1</v>
      </c>
      <c r="N102" s="107">
        <f t="shared" si="61"/>
        <v>1</v>
      </c>
      <c r="O102" s="107">
        <f t="shared" si="61"/>
        <v>1</v>
      </c>
      <c r="P102" s="107">
        <f t="shared" si="61"/>
        <v>1</v>
      </c>
      <c r="Q102" s="107">
        <f t="shared" si="61"/>
        <v>1</v>
      </c>
      <c r="R102" s="107">
        <f t="shared" si="61"/>
        <v>1</v>
      </c>
      <c r="S102" s="107">
        <f t="shared" si="61"/>
        <v>1</v>
      </c>
      <c r="T102" s="107">
        <f t="shared" si="61"/>
        <v>1</v>
      </c>
      <c r="U102" s="107">
        <f t="shared" si="61"/>
        <v>1</v>
      </c>
      <c r="V102" s="107">
        <f t="shared" si="61"/>
        <v>1</v>
      </c>
      <c r="W102" s="107">
        <f t="shared" si="61"/>
        <v>1</v>
      </c>
      <c r="X102" s="107">
        <f t="shared" si="61"/>
        <v>1</v>
      </c>
      <c r="Y102" s="107">
        <f t="shared" si="61"/>
        <v>1</v>
      </c>
      <c r="Z102" s="107">
        <f t="shared" si="61"/>
        <v>1</v>
      </c>
      <c r="AA102" s="107">
        <f t="shared" si="61"/>
        <v>1</v>
      </c>
      <c r="AB102" s="107">
        <f t="shared" si="61"/>
        <v>1</v>
      </c>
      <c r="AC102" s="107">
        <f t="shared" si="61"/>
        <v>1</v>
      </c>
      <c r="AD102" s="107">
        <f t="shared" si="61"/>
        <v>1</v>
      </c>
      <c r="AE102" s="107">
        <f t="shared" si="61"/>
        <v>1</v>
      </c>
      <c r="AF102" s="107">
        <f t="shared" si="61"/>
        <v>1</v>
      </c>
      <c r="AG102" s="107">
        <f t="shared" si="61"/>
        <v>1</v>
      </c>
      <c r="AH102" s="107">
        <f t="shared" si="61"/>
        <v>1</v>
      </c>
      <c r="AI102" s="107">
        <f t="shared" si="61"/>
        <v>1</v>
      </c>
      <c r="AJ102" s="107">
        <f t="shared" si="61"/>
        <v>1</v>
      </c>
      <c r="AK102" s="107">
        <f t="shared" si="61"/>
        <v>1</v>
      </c>
      <c r="AL102" s="107">
        <f t="shared" si="61"/>
        <v>1</v>
      </c>
      <c r="AM102" s="107">
        <f t="shared" si="61"/>
        <v>1</v>
      </c>
      <c r="AN102" s="25"/>
      <c r="AO102" s="25"/>
      <c r="AP102" s="25"/>
      <c r="AQ102" s="25"/>
      <c r="AR102" s="25"/>
      <c r="AS102" s="25"/>
      <c r="AT102" s="25"/>
      <c r="AU102" s="25"/>
      <c r="AV102" s="25"/>
      <c r="AW102" s="25"/>
      <c r="AX102" s="25"/>
      <c r="AY102" s="25"/>
      <c r="AZ102" s="25"/>
    </row>
    <row r="103" spans="1:60" x14ac:dyDescent="0.5">
      <c r="A103" s="25"/>
      <c r="B103" s="25"/>
      <c r="C103" s="98" t="s">
        <v>19</v>
      </c>
      <c r="D103" s="98"/>
      <c r="E103" s="98"/>
      <c r="F103" s="25"/>
      <c r="G103" s="25"/>
      <c r="H103" s="99"/>
      <c r="I103" s="25"/>
      <c r="J103" s="109">
        <f>IF(SUM($J102:J102)=0,0,1)</f>
        <v>1</v>
      </c>
      <c r="K103" s="109">
        <f>IF(SUM($J102:K102)=0,0,1)</f>
        <v>1</v>
      </c>
      <c r="L103" s="109">
        <f>IF(SUM($J102:L102)=0,0,1)</f>
        <v>1</v>
      </c>
      <c r="M103" s="109">
        <f>IF(SUM($J102:M102)=0,0,1)</f>
        <v>1</v>
      </c>
      <c r="N103" s="109">
        <f>IF(SUM($J102:N102)=0,0,1)</f>
        <v>1</v>
      </c>
      <c r="O103" s="109">
        <f>IF(SUM($J102:O102)=0,0,1)</f>
        <v>1</v>
      </c>
      <c r="P103" s="109">
        <f>IF(SUM($J102:P102)=0,0,1)</f>
        <v>1</v>
      </c>
      <c r="Q103" s="109">
        <f>IF(SUM($J102:Q102)=0,0,1)</f>
        <v>1</v>
      </c>
      <c r="R103" s="109">
        <f>IF(SUM($J102:R102)=0,0,1)</f>
        <v>1</v>
      </c>
      <c r="S103" s="109">
        <f>IF(SUM($J102:S102)=0,0,1)</f>
        <v>1</v>
      </c>
      <c r="T103" s="109">
        <f>IF(SUM($J102:T102)=0,0,1)</f>
        <v>1</v>
      </c>
      <c r="U103" s="109">
        <f>IF(SUM($J102:U102)=0,0,1)</f>
        <v>1</v>
      </c>
      <c r="V103" s="109">
        <f>IF(SUM($J102:V102)=0,0,1)</f>
        <v>1</v>
      </c>
      <c r="W103" s="109">
        <f>IF(SUM($J102:W102)=0,0,1)</f>
        <v>1</v>
      </c>
      <c r="X103" s="109">
        <f>IF(SUM($J102:X102)=0,0,1)</f>
        <v>1</v>
      </c>
      <c r="Y103" s="109">
        <f>IF(SUM($J102:Y102)=0,0,1)</f>
        <v>1</v>
      </c>
      <c r="Z103" s="109">
        <f>IF(SUM($J102:Z102)=0,0,1)</f>
        <v>1</v>
      </c>
      <c r="AA103" s="109">
        <f>IF(SUM($J102:AA102)=0,0,1)</f>
        <v>1</v>
      </c>
      <c r="AB103" s="109">
        <f>IF(SUM($J102:AB102)=0,0,1)</f>
        <v>1</v>
      </c>
      <c r="AC103" s="109">
        <f>IF(SUM($J102:AC102)=0,0,1)</f>
        <v>1</v>
      </c>
      <c r="AD103" s="109">
        <f>IF(SUM($J102:AD102)=0,0,1)</f>
        <v>1</v>
      </c>
      <c r="AE103" s="109">
        <f>IF(SUM($J102:AE102)=0,0,1)</f>
        <v>1</v>
      </c>
      <c r="AF103" s="109">
        <f>IF(SUM($J102:AF102)=0,0,1)</f>
        <v>1</v>
      </c>
      <c r="AG103" s="109">
        <f>IF(SUM($J102:AG102)=0,0,1)</f>
        <v>1</v>
      </c>
      <c r="AH103" s="109">
        <f>IF(SUM($J102:AH102)=0,0,1)</f>
        <v>1</v>
      </c>
      <c r="AI103" s="109">
        <f>IF(SUM($J102:AI102)=0,0,1)</f>
        <v>1</v>
      </c>
      <c r="AJ103" s="109">
        <f>IF(SUM($J102:AJ102)=0,0,1)</f>
        <v>1</v>
      </c>
      <c r="AK103" s="109">
        <f>IF(SUM($J102:AK102)=0,0,1)</f>
        <v>1</v>
      </c>
      <c r="AL103" s="109">
        <f>IF(SUM($J102:AL102)=0,0,1)</f>
        <v>1</v>
      </c>
      <c r="AM103" s="109">
        <f>IF(SUM($J102:AM102)=0,0,1)</f>
        <v>1</v>
      </c>
      <c r="AN103" s="25"/>
      <c r="AO103" s="25"/>
      <c r="AP103" s="25"/>
      <c r="AQ103" s="25"/>
      <c r="AR103" s="25"/>
      <c r="AS103" s="25"/>
      <c r="AT103" s="25"/>
      <c r="AU103" s="25"/>
      <c r="AV103" s="25"/>
      <c r="AW103" s="25"/>
      <c r="AX103" s="25"/>
      <c r="AY103" s="25"/>
      <c r="AZ103" s="25"/>
    </row>
    <row r="104" spans="1:60" x14ac:dyDescent="0.5">
      <c r="A104" s="25"/>
      <c r="B104" s="25"/>
      <c r="C104" s="98" t="s">
        <v>20</v>
      </c>
      <c r="D104" s="98"/>
      <c r="E104" s="98"/>
      <c r="F104" s="25"/>
      <c r="G104" s="25"/>
      <c r="H104" s="99"/>
      <c r="I104" s="25"/>
      <c r="J104" s="109">
        <f>IF($AM103=0,0,IF(AND(J103=0,J102=0),K104-1,0))</f>
        <v>0</v>
      </c>
      <c r="K104" s="109">
        <f t="shared" ref="K104:AM104" si="62">IF($AM103=0,0,IF(AND(K103=0,K102=0),L104-1,0))</f>
        <v>0</v>
      </c>
      <c r="L104" s="109">
        <f t="shared" si="62"/>
        <v>0</v>
      </c>
      <c r="M104" s="109">
        <f t="shared" si="62"/>
        <v>0</v>
      </c>
      <c r="N104" s="109">
        <f t="shared" si="62"/>
        <v>0</v>
      </c>
      <c r="O104" s="109">
        <f t="shared" si="62"/>
        <v>0</v>
      </c>
      <c r="P104" s="109">
        <f t="shared" si="62"/>
        <v>0</v>
      </c>
      <c r="Q104" s="109">
        <f t="shared" si="62"/>
        <v>0</v>
      </c>
      <c r="R104" s="109">
        <f t="shared" si="62"/>
        <v>0</v>
      </c>
      <c r="S104" s="109">
        <f t="shared" si="62"/>
        <v>0</v>
      </c>
      <c r="T104" s="109">
        <f t="shared" si="62"/>
        <v>0</v>
      </c>
      <c r="U104" s="109">
        <f t="shared" si="62"/>
        <v>0</v>
      </c>
      <c r="V104" s="109">
        <f t="shared" si="62"/>
        <v>0</v>
      </c>
      <c r="W104" s="109">
        <f t="shared" si="62"/>
        <v>0</v>
      </c>
      <c r="X104" s="109">
        <f t="shared" si="62"/>
        <v>0</v>
      </c>
      <c r="Y104" s="109">
        <f t="shared" si="62"/>
        <v>0</v>
      </c>
      <c r="Z104" s="109">
        <f t="shared" si="62"/>
        <v>0</v>
      </c>
      <c r="AA104" s="109">
        <f t="shared" si="62"/>
        <v>0</v>
      </c>
      <c r="AB104" s="109">
        <f t="shared" si="62"/>
        <v>0</v>
      </c>
      <c r="AC104" s="109">
        <f t="shared" si="62"/>
        <v>0</v>
      </c>
      <c r="AD104" s="109">
        <f t="shared" si="62"/>
        <v>0</v>
      </c>
      <c r="AE104" s="109">
        <f t="shared" si="62"/>
        <v>0</v>
      </c>
      <c r="AF104" s="109">
        <f t="shared" si="62"/>
        <v>0</v>
      </c>
      <c r="AG104" s="109">
        <f t="shared" si="62"/>
        <v>0</v>
      </c>
      <c r="AH104" s="109">
        <f t="shared" si="62"/>
        <v>0</v>
      </c>
      <c r="AI104" s="109">
        <f t="shared" si="62"/>
        <v>0</v>
      </c>
      <c r="AJ104" s="109">
        <f t="shared" si="62"/>
        <v>0</v>
      </c>
      <c r="AK104" s="109">
        <f t="shared" si="62"/>
        <v>0</v>
      </c>
      <c r="AL104" s="109">
        <f t="shared" si="62"/>
        <v>0</v>
      </c>
      <c r="AM104" s="109">
        <f t="shared" si="62"/>
        <v>0</v>
      </c>
      <c r="AN104" s="25"/>
      <c r="AO104" s="25"/>
      <c r="AP104" s="25"/>
      <c r="AQ104" s="25"/>
      <c r="AR104" s="25"/>
      <c r="AS104" s="25"/>
      <c r="AT104" s="25"/>
      <c r="AU104" s="25"/>
      <c r="AV104" s="25"/>
      <c r="AW104" s="25"/>
      <c r="AX104" s="25"/>
      <c r="AY104" s="25"/>
      <c r="AZ104" s="25"/>
    </row>
    <row r="105" spans="1:60" x14ac:dyDescent="0.5">
      <c r="A105" s="25"/>
      <c r="B105" s="25"/>
      <c r="C105" s="98" t="s">
        <v>118</v>
      </c>
      <c r="D105" s="98"/>
      <c r="E105" s="98"/>
      <c r="F105" s="108"/>
      <c r="G105" s="98"/>
      <c r="H105" s="99"/>
      <c r="I105" s="99"/>
      <c r="J105" s="109">
        <f t="shared" ref="J105:AM105" si="63">IF(ABS(J104)=INDEX(leadtimes,MATCH($B15,assetnames,0),1),1,0)</f>
        <v>1</v>
      </c>
      <c r="K105" s="109">
        <f t="shared" si="63"/>
        <v>1</v>
      </c>
      <c r="L105" s="109">
        <f t="shared" si="63"/>
        <v>1</v>
      </c>
      <c r="M105" s="109">
        <f t="shared" si="63"/>
        <v>1</v>
      </c>
      <c r="N105" s="109">
        <f t="shared" si="63"/>
        <v>1</v>
      </c>
      <c r="O105" s="109">
        <f t="shared" si="63"/>
        <v>1</v>
      </c>
      <c r="P105" s="109">
        <f t="shared" si="63"/>
        <v>1</v>
      </c>
      <c r="Q105" s="109">
        <f t="shared" si="63"/>
        <v>1</v>
      </c>
      <c r="R105" s="109">
        <f t="shared" si="63"/>
        <v>1</v>
      </c>
      <c r="S105" s="109">
        <f t="shared" si="63"/>
        <v>1</v>
      </c>
      <c r="T105" s="109">
        <f t="shared" si="63"/>
        <v>1</v>
      </c>
      <c r="U105" s="109">
        <f t="shared" si="63"/>
        <v>1</v>
      </c>
      <c r="V105" s="109">
        <f t="shared" si="63"/>
        <v>1</v>
      </c>
      <c r="W105" s="109">
        <f t="shared" si="63"/>
        <v>1</v>
      </c>
      <c r="X105" s="109">
        <f t="shared" si="63"/>
        <v>1</v>
      </c>
      <c r="Y105" s="109">
        <f t="shared" si="63"/>
        <v>1</v>
      </c>
      <c r="Z105" s="109">
        <f t="shared" si="63"/>
        <v>1</v>
      </c>
      <c r="AA105" s="109">
        <f t="shared" si="63"/>
        <v>1</v>
      </c>
      <c r="AB105" s="109">
        <f t="shared" si="63"/>
        <v>1</v>
      </c>
      <c r="AC105" s="109">
        <f t="shared" si="63"/>
        <v>1</v>
      </c>
      <c r="AD105" s="109">
        <f t="shared" si="63"/>
        <v>1</v>
      </c>
      <c r="AE105" s="109">
        <f t="shared" si="63"/>
        <v>1</v>
      </c>
      <c r="AF105" s="109">
        <f t="shared" si="63"/>
        <v>1</v>
      </c>
      <c r="AG105" s="109">
        <f t="shared" si="63"/>
        <v>1</v>
      </c>
      <c r="AH105" s="109">
        <f t="shared" si="63"/>
        <v>1</v>
      </c>
      <c r="AI105" s="109">
        <f t="shared" si="63"/>
        <v>1</v>
      </c>
      <c r="AJ105" s="109">
        <f t="shared" si="63"/>
        <v>1</v>
      </c>
      <c r="AK105" s="109">
        <f t="shared" si="63"/>
        <v>1</v>
      </c>
      <c r="AL105" s="109">
        <f t="shared" si="63"/>
        <v>1</v>
      </c>
      <c r="AM105" s="109">
        <f t="shared" si="63"/>
        <v>1</v>
      </c>
      <c r="AN105" s="109"/>
      <c r="AO105" s="109"/>
      <c r="AP105" s="109"/>
      <c r="AQ105" s="109"/>
      <c r="AR105" s="109"/>
      <c r="AS105" s="109"/>
      <c r="AT105" s="109"/>
      <c r="AU105" s="109"/>
      <c r="AV105" s="109"/>
      <c r="AW105" s="109"/>
      <c r="AX105" s="109"/>
      <c r="AY105" s="109"/>
      <c r="AZ105" s="109"/>
      <c r="BA105" s="109"/>
      <c r="BB105" s="109"/>
      <c r="BC105" s="109"/>
      <c r="BD105" s="109"/>
      <c r="BE105" s="100"/>
      <c r="BF105" s="100"/>
      <c r="BG105" s="100"/>
      <c r="BH105" s="100"/>
    </row>
    <row r="106" spans="1:60" x14ac:dyDescent="0.5">
      <c r="A106" s="25"/>
      <c r="B106" s="25"/>
      <c r="C106" s="98" t="s">
        <v>119</v>
      </c>
      <c r="D106" s="98"/>
      <c r="E106" s="98"/>
      <c r="F106" s="108"/>
      <c r="G106" s="98"/>
      <c r="H106" s="99"/>
      <c r="I106" s="99"/>
      <c r="J106" s="109">
        <f>IF(SUM($J105:J105)=1,1,0)+I106</f>
        <v>1</v>
      </c>
      <c r="K106" s="109">
        <f>IF(SUM($J105:K105)=1,1,0)+J106</f>
        <v>1</v>
      </c>
      <c r="L106" s="109">
        <f>IF(SUM($J105:L105)=1,1,0)+K106</f>
        <v>1</v>
      </c>
      <c r="M106" s="109">
        <f>IF(SUM($J105:M105)=1,1,0)+L106</f>
        <v>1</v>
      </c>
      <c r="N106" s="109">
        <f>IF(SUM($J105:N105)=1,1,0)+M106</f>
        <v>1</v>
      </c>
      <c r="O106" s="109">
        <f>IF(SUM($J105:O105)=1,1,0)+N106</f>
        <v>1</v>
      </c>
      <c r="P106" s="109">
        <f>IF(SUM($J105:P105)=1,1,0)+O106</f>
        <v>1</v>
      </c>
      <c r="Q106" s="109">
        <f>IF(SUM($J105:Q105)=1,1,0)+P106</f>
        <v>1</v>
      </c>
      <c r="R106" s="109">
        <f>IF(SUM($J105:R105)=1,1,0)+Q106</f>
        <v>1</v>
      </c>
      <c r="S106" s="109">
        <f>IF(SUM($J105:S105)=1,1,0)+R106</f>
        <v>1</v>
      </c>
      <c r="T106" s="109">
        <f>IF(SUM($J105:T105)=1,1,0)+S106</f>
        <v>1</v>
      </c>
      <c r="U106" s="109">
        <f>IF(SUM($J105:U105)=1,1,0)+T106</f>
        <v>1</v>
      </c>
      <c r="V106" s="109">
        <f>IF(SUM($J105:V105)=1,1,0)+U106</f>
        <v>1</v>
      </c>
      <c r="W106" s="109">
        <f>IF(SUM($J105:W105)=1,1,0)+V106</f>
        <v>1</v>
      </c>
      <c r="X106" s="109">
        <f>IF(SUM($J105:X105)=1,1,0)+W106</f>
        <v>1</v>
      </c>
      <c r="Y106" s="109">
        <f>IF(SUM($J105:Y105)=1,1,0)+X106</f>
        <v>1</v>
      </c>
      <c r="Z106" s="109">
        <f>IF(SUM($J105:Z105)=1,1,0)+Y106</f>
        <v>1</v>
      </c>
      <c r="AA106" s="109">
        <f>IF(SUM($J105:AA105)=1,1,0)+Z106</f>
        <v>1</v>
      </c>
      <c r="AB106" s="109">
        <f>IF(SUM($J105:AB105)=1,1,0)+AA106</f>
        <v>1</v>
      </c>
      <c r="AC106" s="109">
        <f>IF(SUM($J105:AC105)=1,1,0)+AB106</f>
        <v>1</v>
      </c>
      <c r="AD106" s="109">
        <f>IF(SUM($J105:AD105)=1,1,0)+AC106</f>
        <v>1</v>
      </c>
      <c r="AE106" s="109">
        <f>IF(SUM($J105:AE105)=1,1,0)+AD106</f>
        <v>1</v>
      </c>
      <c r="AF106" s="109">
        <f>IF(SUM($J105:AF105)=1,1,0)+AE106</f>
        <v>1</v>
      </c>
      <c r="AG106" s="109">
        <f>IF(SUM($J105:AG105)=1,1,0)+AF106</f>
        <v>1</v>
      </c>
      <c r="AH106" s="109">
        <f>IF(SUM($J105:AH105)=1,1,0)+AG106</f>
        <v>1</v>
      </c>
      <c r="AI106" s="109">
        <f>IF(SUM($J105:AI105)=1,1,0)+AH106</f>
        <v>1</v>
      </c>
      <c r="AJ106" s="109">
        <f>IF(SUM($J105:AJ105)=1,1,0)+AI106</f>
        <v>1</v>
      </c>
      <c r="AK106" s="109">
        <f>IF(SUM($J105:AK105)=1,1,0)+AJ106</f>
        <v>1</v>
      </c>
      <c r="AL106" s="109">
        <f>IF(SUM($J105:AL105)=1,1,0)+AK106</f>
        <v>1</v>
      </c>
      <c r="AM106" s="109">
        <f>IF(SUM($J105:AM105)=1,1,0)+AL106</f>
        <v>1</v>
      </c>
      <c r="AN106" s="109"/>
      <c r="AO106" s="109"/>
      <c r="AP106" s="109"/>
      <c r="AQ106" s="109"/>
      <c r="AR106" s="109"/>
      <c r="AS106" s="109"/>
      <c r="AT106" s="109"/>
      <c r="AU106" s="109"/>
      <c r="AV106" s="109"/>
      <c r="AW106" s="109"/>
      <c r="AX106" s="109"/>
      <c r="AY106" s="109"/>
      <c r="AZ106" s="109"/>
      <c r="BA106" s="109"/>
      <c r="BB106" s="109"/>
      <c r="BC106" s="109"/>
      <c r="BD106" s="109"/>
      <c r="BE106" s="100"/>
      <c r="BF106" s="100"/>
      <c r="BG106" s="100"/>
      <c r="BH106" s="100"/>
    </row>
    <row r="107" spans="1:60" ht="15.65" customHeight="1" x14ac:dyDescent="0.5">
      <c r="A107" s="25"/>
      <c r="B107" s="25"/>
      <c r="C107" s="98" t="s">
        <v>117</v>
      </c>
      <c r="D107" s="99"/>
      <c r="E107" s="99"/>
      <c r="F107" s="106"/>
      <c r="G107" s="99"/>
      <c r="H107" s="99"/>
      <c r="I107" s="99"/>
      <c r="J107" s="107">
        <f>SUM($J102:J102)</f>
        <v>1</v>
      </c>
      <c r="K107" s="107">
        <f>SUM($J102:K102)</f>
        <v>2</v>
      </c>
      <c r="L107" s="107">
        <f>SUM($J102:L102)</f>
        <v>3</v>
      </c>
      <c r="M107" s="107">
        <f>SUM($J102:M102)</f>
        <v>4</v>
      </c>
      <c r="N107" s="107">
        <f>SUM($J102:N102)</f>
        <v>5</v>
      </c>
      <c r="O107" s="107">
        <f>SUM($J102:O102)</f>
        <v>6</v>
      </c>
      <c r="P107" s="107">
        <f>SUM($J102:P102)</f>
        <v>7</v>
      </c>
      <c r="Q107" s="107">
        <f>SUM($J102:Q102)</f>
        <v>8</v>
      </c>
      <c r="R107" s="107">
        <f>SUM($J102:R102)</f>
        <v>9</v>
      </c>
      <c r="S107" s="107">
        <f>SUM($J102:S102)</f>
        <v>10</v>
      </c>
      <c r="T107" s="107">
        <f>SUM($J102:T102)</f>
        <v>11</v>
      </c>
      <c r="U107" s="107">
        <f>SUM($J102:U102)</f>
        <v>12</v>
      </c>
      <c r="V107" s="107">
        <f>SUM($J102:V102)</f>
        <v>13</v>
      </c>
      <c r="W107" s="107">
        <f>SUM($J102:W102)</f>
        <v>14</v>
      </c>
      <c r="X107" s="107">
        <f>SUM($J102:X102)</f>
        <v>15</v>
      </c>
      <c r="Y107" s="107">
        <f>SUM($J102:Y102)</f>
        <v>16</v>
      </c>
      <c r="Z107" s="107">
        <f>SUM($J102:Z102)</f>
        <v>17</v>
      </c>
      <c r="AA107" s="107">
        <f>SUM($J102:AA102)</f>
        <v>18</v>
      </c>
      <c r="AB107" s="107">
        <f>SUM($J102:AB102)</f>
        <v>19</v>
      </c>
      <c r="AC107" s="107">
        <f>SUM($J102:AC102)</f>
        <v>20</v>
      </c>
      <c r="AD107" s="107">
        <f>SUM($J102:AD102)</f>
        <v>21</v>
      </c>
      <c r="AE107" s="107">
        <f>SUM($J102:AE102)</f>
        <v>22</v>
      </c>
      <c r="AF107" s="107">
        <f>SUM($J102:AF102)</f>
        <v>23</v>
      </c>
      <c r="AG107" s="107">
        <f>SUM($J102:AG102)</f>
        <v>24</v>
      </c>
      <c r="AH107" s="107">
        <f>SUM($J102:AH102)</f>
        <v>25</v>
      </c>
      <c r="AI107" s="107">
        <f>SUM($J102:AI102)</f>
        <v>26</v>
      </c>
      <c r="AJ107" s="107">
        <f>SUM($J102:AJ102)</f>
        <v>27</v>
      </c>
      <c r="AK107" s="107">
        <f>SUM($J102:AK102)</f>
        <v>28</v>
      </c>
      <c r="AL107" s="107">
        <f>SUM($J102:AL102)</f>
        <v>29</v>
      </c>
      <c r="AM107" s="107">
        <f>SUM($J102:AM102)</f>
        <v>30</v>
      </c>
      <c r="AN107" s="107"/>
      <c r="AO107" s="107"/>
      <c r="AP107" s="107"/>
      <c r="AQ107" s="107"/>
      <c r="AR107" s="107"/>
      <c r="AS107" s="107"/>
      <c r="AT107" s="107"/>
      <c r="AU107" s="107"/>
      <c r="AV107" s="107"/>
      <c r="AW107" s="107"/>
      <c r="AX107" s="107"/>
      <c r="AY107" s="107"/>
      <c r="AZ107" s="107"/>
      <c r="BA107" s="107"/>
      <c r="BB107" s="107"/>
      <c r="BC107" s="107"/>
      <c r="BD107" s="107"/>
      <c r="BE107" s="107"/>
      <c r="BF107" s="107"/>
      <c r="BG107" s="107"/>
      <c r="BH107" s="107"/>
    </row>
    <row r="108" spans="1:60" x14ac:dyDescent="0.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row>
    <row r="109" spans="1:60" x14ac:dyDescent="0.5">
      <c r="A109" s="25"/>
      <c r="B109" s="25"/>
      <c r="C109" s="25" t="s">
        <v>96</v>
      </c>
      <c r="D109" s="25" t="s">
        <v>1</v>
      </c>
      <c r="E109" s="25"/>
      <c r="G109" s="25"/>
      <c r="H109" s="105">
        <f>J109+NPV(discountrate,K109:AK109)</f>
        <v>0</v>
      </c>
      <c r="I109" s="25"/>
      <c r="J109" s="105">
        <f t="shared" ref="J109:AM109" si="64">INDEX(networkvolumes,MATCH($C109,volumesnames,0),MATCH(J$7,years,0))</f>
        <v>0</v>
      </c>
      <c r="K109" s="105">
        <f t="shared" si="64"/>
        <v>0</v>
      </c>
      <c r="L109" s="105">
        <f t="shared" si="64"/>
        <v>0</v>
      </c>
      <c r="M109" s="105">
        <f t="shared" si="64"/>
        <v>0</v>
      </c>
      <c r="N109" s="105">
        <f t="shared" si="64"/>
        <v>0</v>
      </c>
      <c r="O109" s="105">
        <f t="shared" si="64"/>
        <v>0</v>
      </c>
      <c r="P109" s="105">
        <f t="shared" si="64"/>
        <v>0</v>
      </c>
      <c r="Q109" s="105">
        <f t="shared" si="64"/>
        <v>0</v>
      </c>
      <c r="R109" s="105">
        <f t="shared" si="64"/>
        <v>0</v>
      </c>
      <c r="S109" s="105">
        <f t="shared" si="64"/>
        <v>0</v>
      </c>
      <c r="T109" s="105">
        <f t="shared" si="64"/>
        <v>0</v>
      </c>
      <c r="U109" s="105">
        <f t="shared" si="64"/>
        <v>0</v>
      </c>
      <c r="V109" s="105">
        <f t="shared" si="64"/>
        <v>0</v>
      </c>
      <c r="W109" s="105">
        <f t="shared" si="64"/>
        <v>0</v>
      </c>
      <c r="X109" s="105">
        <f t="shared" si="64"/>
        <v>0</v>
      </c>
      <c r="Y109" s="105">
        <f t="shared" si="64"/>
        <v>0</v>
      </c>
      <c r="Z109" s="105">
        <f t="shared" si="64"/>
        <v>0</v>
      </c>
      <c r="AA109" s="105">
        <f t="shared" si="64"/>
        <v>0</v>
      </c>
      <c r="AB109" s="105">
        <f t="shared" si="64"/>
        <v>0</v>
      </c>
      <c r="AC109" s="105">
        <f t="shared" si="64"/>
        <v>0</v>
      </c>
      <c r="AD109" s="105">
        <f t="shared" si="64"/>
        <v>0</v>
      </c>
      <c r="AE109" s="105">
        <f t="shared" si="64"/>
        <v>0</v>
      </c>
      <c r="AF109" s="105">
        <f t="shared" si="64"/>
        <v>0</v>
      </c>
      <c r="AG109" s="105">
        <f t="shared" si="64"/>
        <v>0</v>
      </c>
      <c r="AH109" s="105">
        <f t="shared" si="64"/>
        <v>0</v>
      </c>
      <c r="AI109" s="105">
        <f t="shared" si="64"/>
        <v>0</v>
      </c>
      <c r="AJ109" s="105">
        <f t="shared" si="64"/>
        <v>0</v>
      </c>
      <c r="AK109" s="105">
        <f t="shared" si="64"/>
        <v>0</v>
      </c>
      <c r="AL109" s="105">
        <f t="shared" si="64"/>
        <v>0</v>
      </c>
      <c r="AM109" s="105">
        <f t="shared" si="64"/>
        <v>0</v>
      </c>
      <c r="AN109" s="25"/>
      <c r="AO109" s="25"/>
      <c r="AP109" s="25"/>
      <c r="AQ109" s="25"/>
      <c r="AR109" s="25"/>
      <c r="AS109" s="25"/>
      <c r="AT109" s="25"/>
      <c r="AU109" s="25"/>
      <c r="AV109" s="25"/>
      <c r="AW109" s="25"/>
      <c r="AX109" s="25"/>
      <c r="AY109" s="25"/>
      <c r="AZ109" s="25"/>
    </row>
    <row r="110" spans="1:60" x14ac:dyDescent="0.5">
      <c r="A110" s="25"/>
      <c r="B110" s="25"/>
      <c r="C110" s="25" t="s">
        <v>147</v>
      </c>
      <c r="D110" s="25" t="s">
        <v>150</v>
      </c>
      <c r="E110" s="25"/>
      <c r="F110" s="106"/>
      <c r="G110" s="25"/>
      <c r="H110" s="105">
        <f>J110+NPV(discountrate,K110:AM110)</f>
        <v>0</v>
      </c>
      <c r="I110" s="25"/>
      <c r="J110" s="105">
        <f>J119</f>
        <v>0</v>
      </c>
      <c r="K110" s="105">
        <f t="shared" ref="K110:AM110" si="65">K119</f>
        <v>0</v>
      </c>
      <c r="L110" s="105">
        <f t="shared" si="65"/>
        <v>0</v>
      </c>
      <c r="M110" s="105">
        <f t="shared" si="65"/>
        <v>0</v>
      </c>
      <c r="N110" s="105">
        <f t="shared" si="65"/>
        <v>0</v>
      </c>
      <c r="O110" s="105">
        <f t="shared" si="65"/>
        <v>0</v>
      </c>
      <c r="P110" s="105">
        <f t="shared" si="65"/>
        <v>0</v>
      </c>
      <c r="Q110" s="105">
        <f t="shared" si="65"/>
        <v>0</v>
      </c>
      <c r="R110" s="105">
        <f t="shared" si="65"/>
        <v>0</v>
      </c>
      <c r="S110" s="105">
        <f t="shared" si="65"/>
        <v>0</v>
      </c>
      <c r="T110" s="105">
        <f t="shared" si="65"/>
        <v>0</v>
      </c>
      <c r="U110" s="105">
        <f t="shared" si="65"/>
        <v>0</v>
      </c>
      <c r="V110" s="105">
        <f t="shared" si="65"/>
        <v>0</v>
      </c>
      <c r="W110" s="105">
        <f t="shared" si="65"/>
        <v>0</v>
      </c>
      <c r="X110" s="105">
        <f t="shared" si="65"/>
        <v>0</v>
      </c>
      <c r="Y110" s="105">
        <f t="shared" si="65"/>
        <v>0</v>
      </c>
      <c r="Z110" s="105">
        <f t="shared" si="65"/>
        <v>0</v>
      </c>
      <c r="AA110" s="105">
        <f t="shared" si="65"/>
        <v>0</v>
      </c>
      <c r="AB110" s="105">
        <f t="shared" si="65"/>
        <v>0</v>
      </c>
      <c r="AC110" s="105">
        <f t="shared" si="65"/>
        <v>0</v>
      </c>
      <c r="AD110" s="105">
        <f t="shared" si="65"/>
        <v>0</v>
      </c>
      <c r="AE110" s="105">
        <f t="shared" si="65"/>
        <v>0</v>
      </c>
      <c r="AF110" s="105">
        <f t="shared" si="65"/>
        <v>0</v>
      </c>
      <c r="AG110" s="105">
        <f t="shared" si="65"/>
        <v>0</v>
      </c>
      <c r="AH110" s="105">
        <f t="shared" si="65"/>
        <v>0</v>
      </c>
      <c r="AI110" s="105">
        <f t="shared" si="65"/>
        <v>0</v>
      </c>
      <c r="AJ110" s="105">
        <f t="shared" si="65"/>
        <v>0</v>
      </c>
      <c r="AK110" s="105">
        <f t="shared" si="65"/>
        <v>0</v>
      </c>
      <c r="AL110" s="105">
        <f t="shared" si="65"/>
        <v>0</v>
      </c>
      <c r="AM110" s="105">
        <f t="shared" si="65"/>
        <v>0</v>
      </c>
      <c r="AN110" s="25"/>
      <c r="AO110" s="25"/>
      <c r="AP110" s="25"/>
      <c r="AQ110" s="25"/>
      <c r="AR110" s="25"/>
      <c r="AS110" s="25"/>
      <c r="AT110" s="25"/>
      <c r="AU110" s="25"/>
      <c r="AV110" s="25"/>
      <c r="AW110" s="25"/>
      <c r="AX110" s="25"/>
      <c r="AY110" s="25"/>
      <c r="AZ110" s="25"/>
    </row>
    <row r="111" spans="1:60" x14ac:dyDescent="0.5">
      <c r="A111" s="25"/>
      <c r="B111" s="25"/>
      <c r="C111" s="25" t="s">
        <v>23</v>
      </c>
      <c r="D111" s="25" t="s">
        <v>131</v>
      </c>
      <c r="E111" s="25"/>
      <c r="F111" s="106" t="s">
        <v>129</v>
      </c>
      <c r="G111" s="25"/>
      <c r="H111" s="25"/>
      <c r="I111" s="25"/>
      <c r="J111" s="104" cm="1">
        <f t="array" ref="J111">IF(J106=0,0,INDEX(capex,MATCH($B15,assetnames,0),J106))</f>
        <v>0</v>
      </c>
      <c r="K111" s="104" cm="1">
        <f t="array" ref="K111">IF(K106=0,0,INDEX(capex,MATCH($B15,assetnames,0),K106))</f>
        <v>0</v>
      </c>
      <c r="L111" s="104" cm="1">
        <f t="array" ref="L111">IF(L106=0,0,INDEX(capex,MATCH($B15,assetnames,0),L106))</f>
        <v>0</v>
      </c>
      <c r="M111" s="104" cm="1">
        <f t="array" ref="M111">IF(M106=0,0,INDEX(capex,MATCH($B15,assetnames,0),M106))</f>
        <v>0</v>
      </c>
      <c r="N111" s="104" cm="1">
        <f t="array" ref="N111">IF(N106=0,0,INDEX(capex,MATCH($B15,assetnames,0),N106))</f>
        <v>0</v>
      </c>
      <c r="O111" s="104" cm="1">
        <f t="array" ref="O111">IF(O106=0,0,INDEX(capex,MATCH($B15,assetnames,0),O106))</f>
        <v>0</v>
      </c>
      <c r="P111" s="104" cm="1">
        <f t="array" ref="P111">IF(P106=0,0,INDEX(capex,MATCH($B15,assetnames,0),P106))</f>
        <v>0</v>
      </c>
      <c r="Q111" s="104" cm="1">
        <f t="array" ref="Q111">IF(Q106=0,0,INDEX(capex,MATCH($B15,assetnames,0),Q106))</f>
        <v>0</v>
      </c>
      <c r="R111" s="104" cm="1">
        <f t="array" ref="R111">IF(R106=0,0,INDEX(capex,MATCH($B15,assetnames,0),R106))</f>
        <v>0</v>
      </c>
      <c r="S111" s="104" cm="1">
        <f t="array" ref="S111">IF(S106=0,0,INDEX(capex,MATCH($B15,assetnames,0),S106))</f>
        <v>0</v>
      </c>
      <c r="T111" s="104" cm="1">
        <f t="array" ref="T111">IF(T106=0,0,INDEX(capex,MATCH($B15,assetnames,0),T106))</f>
        <v>0</v>
      </c>
      <c r="U111" s="104" cm="1">
        <f t="array" ref="U111">IF(U106=0,0,INDEX(capex,MATCH($B15,assetnames,0),U106))</f>
        <v>0</v>
      </c>
      <c r="V111" s="104" cm="1">
        <f t="array" ref="V111">IF(V106=0,0,INDEX(capex,MATCH($B15,assetnames,0),V106))</f>
        <v>0</v>
      </c>
      <c r="W111" s="104" cm="1">
        <f t="array" ref="W111">IF(W106=0,0,INDEX(capex,MATCH($B15,assetnames,0),W106))</f>
        <v>0</v>
      </c>
      <c r="X111" s="104" cm="1">
        <f t="array" ref="X111">IF(X106=0,0,INDEX(capex,MATCH($B15,assetnames,0),X106))</f>
        <v>0</v>
      </c>
      <c r="Y111" s="104" cm="1">
        <f t="array" ref="Y111">IF(Y106=0,0,INDEX(capex,MATCH($B15,assetnames,0),Y106))</f>
        <v>0</v>
      </c>
      <c r="Z111" s="104" cm="1">
        <f t="array" ref="Z111">IF(Z106=0,0,INDEX(capex,MATCH($B15,assetnames,0),Z106))</f>
        <v>0</v>
      </c>
      <c r="AA111" s="104" cm="1">
        <f t="array" ref="AA111">IF(AA106=0,0,INDEX(capex,MATCH($B15,assetnames,0),AA106))</f>
        <v>0</v>
      </c>
      <c r="AB111" s="104" cm="1">
        <f t="array" ref="AB111">IF(AB106=0,0,INDEX(capex,MATCH($B15,assetnames,0),AB106))</f>
        <v>0</v>
      </c>
      <c r="AC111" s="104" cm="1">
        <f t="array" ref="AC111">IF(AC106=0,0,INDEX(capex,MATCH($B15,assetnames,0),AC106))</f>
        <v>0</v>
      </c>
      <c r="AD111" s="104" cm="1">
        <f t="array" ref="AD111">IF(AD106=0,0,INDEX(capex,MATCH($B15,assetnames,0),AD106))</f>
        <v>0</v>
      </c>
      <c r="AE111" s="104" cm="1">
        <f t="array" ref="AE111">IF(AE106=0,0,INDEX(capex,MATCH($B15,assetnames,0),AE106))</f>
        <v>0</v>
      </c>
      <c r="AF111" s="104" cm="1">
        <f t="array" ref="AF111">IF(AF106=0,0,INDEX(capex,MATCH($B15,assetnames,0),AF106))</f>
        <v>0</v>
      </c>
      <c r="AG111" s="104" cm="1">
        <f t="array" ref="AG111">IF(AG106=0,0,INDEX(capex,MATCH($B15,assetnames,0),AG106))</f>
        <v>0</v>
      </c>
      <c r="AH111" s="104" cm="1">
        <f t="array" ref="AH111">IF(AH106=0,0,INDEX(capex,MATCH($B15,assetnames,0),AH106))</f>
        <v>0</v>
      </c>
      <c r="AI111" s="104" cm="1">
        <f t="array" ref="AI111">IF(AI106=0,0,INDEX(capex,MATCH($B15,assetnames,0),AI106))</f>
        <v>0</v>
      </c>
      <c r="AJ111" s="104" cm="1">
        <f t="array" ref="AJ111">IF(AJ106=0,0,INDEX(capex,MATCH($B15,assetnames,0),AJ106))</f>
        <v>0</v>
      </c>
      <c r="AK111" s="104" cm="1">
        <f t="array" ref="AK111">IF(AK106=0,0,INDEX(capex,MATCH($B15,assetnames,0),AK106))</f>
        <v>0</v>
      </c>
      <c r="AL111" s="104" cm="1">
        <f t="array" ref="AL111">IF(AL106=0,0,INDEX(capex,MATCH($B15,assetnames,0),AL106))</f>
        <v>0</v>
      </c>
      <c r="AM111" s="104" cm="1">
        <f t="array" ref="AM111">IF(AM106=0,0,INDEX(capex,MATCH($B15,assetnames,0),AM106))</f>
        <v>0</v>
      </c>
      <c r="AN111" s="25"/>
      <c r="AO111" s="25"/>
      <c r="AP111" s="25"/>
      <c r="AQ111" s="25"/>
      <c r="AR111" s="25"/>
      <c r="AS111" s="25"/>
      <c r="AT111" s="25"/>
      <c r="AU111" s="25"/>
      <c r="AV111" s="25"/>
      <c r="AW111" s="25"/>
      <c r="AX111" s="25"/>
      <c r="AY111" s="25"/>
      <c r="AZ111" s="25"/>
    </row>
    <row r="112" spans="1:60" x14ac:dyDescent="0.5">
      <c r="A112" s="25"/>
      <c r="B112" s="25"/>
      <c r="C112" s="25" t="s">
        <v>24</v>
      </c>
      <c r="D112" s="25" t="s">
        <v>131</v>
      </c>
      <c r="E112" s="25"/>
      <c r="F112" s="121" t="str">
        <f>IF(H113=0,"",INDEX($J$7:$AM$7,1,MATCH(1,$J105:$AM105,0)))</f>
        <v/>
      </c>
      <c r="G112" s="25"/>
      <c r="H112" s="25"/>
      <c r="I112" s="25"/>
      <c r="J112" s="104">
        <f t="shared" ref="J112:AM112" si="66">IF(J102=1,INDEX(opex,MATCH($B15,assetnames,0),J107),0)</f>
        <v>0</v>
      </c>
      <c r="K112" s="104">
        <f t="shared" si="66"/>
        <v>0</v>
      </c>
      <c r="L112" s="104">
        <f t="shared" si="66"/>
        <v>0</v>
      </c>
      <c r="M112" s="104">
        <f t="shared" si="66"/>
        <v>0</v>
      </c>
      <c r="N112" s="104">
        <f t="shared" si="66"/>
        <v>0</v>
      </c>
      <c r="O112" s="104">
        <f t="shared" si="66"/>
        <v>0</v>
      </c>
      <c r="P112" s="104">
        <f t="shared" si="66"/>
        <v>0</v>
      </c>
      <c r="Q112" s="104">
        <f t="shared" si="66"/>
        <v>0</v>
      </c>
      <c r="R112" s="104">
        <f t="shared" si="66"/>
        <v>0</v>
      </c>
      <c r="S112" s="104">
        <f t="shared" si="66"/>
        <v>0</v>
      </c>
      <c r="T112" s="104">
        <f t="shared" si="66"/>
        <v>0</v>
      </c>
      <c r="U112" s="104">
        <f t="shared" si="66"/>
        <v>0</v>
      </c>
      <c r="V112" s="104">
        <f t="shared" si="66"/>
        <v>0</v>
      </c>
      <c r="W112" s="104">
        <f t="shared" si="66"/>
        <v>0</v>
      </c>
      <c r="X112" s="104">
        <f t="shared" si="66"/>
        <v>0</v>
      </c>
      <c r="Y112" s="104">
        <f t="shared" si="66"/>
        <v>0</v>
      </c>
      <c r="Z112" s="104">
        <f t="shared" si="66"/>
        <v>0</v>
      </c>
      <c r="AA112" s="104">
        <f t="shared" si="66"/>
        <v>0</v>
      </c>
      <c r="AB112" s="104">
        <f t="shared" si="66"/>
        <v>0</v>
      </c>
      <c r="AC112" s="104">
        <f t="shared" si="66"/>
        <v>0</v>
      </c>
      <c r="AD112" s="104">
        <f t="shared" si="66"/>
        <v>0</v>
      </c>
      <c r="AE112" s="104">
        <f t="shared" si="66"/>
        <v>0</v>
      </c>
      <c r="AF112" s="104">
        <f t="shared" si="66"/>
        <v>0</v>
      </c>
      <c r="AG112" s="104">
        <f t="shared" si="66"/>
        <v>0</v>
      </c>
      <c r="AH112" s="104">
        <f t="shared" si="66"/>
        <v>0</v>
      </c>
      <c r="AI112" s="104">
        <f t="shared" si="66"/>
        <v>0</v>
      </c>
      <c r="AJ112" s="104">
        <f t="shared" si="66"/>
        <v>0</v>
      </c>
      <c r="AK112" s="104">
        <f t="shared" si="66"/>
        <v>0</v>
      </c>
      <c r="AL112" s="104">
        <f t="shared" si="66"/>
        <v>0</v>
      </c>
      <c r="AM112" s="104">
        <f t="shared" si="66"/>
        <v>0</v>
      </c>
      <c r="AN112" s="25"/>
      <c r="AO112" s="25"/>
      <c r="AP112" s="25"/>
      <c r="AQ112" s="25"/>
      <c r="AR112" s="25"/>
      <c r="AS112" s="25"/>
      <c r="AT112" s="25"/>
      <c r="AU112" s="25"/>
      <c r="AV112" s="25"/>
      <c r="AW112" s="25"/>
      <c r="AX112" s="25"/>
      <c r="AY112" s="25"/>
      <c r="AZ112" s="25"/>
    </row>
    <row r="113" spans="1:60" s="101" customFormat="1" x14ac:dyDescent="0.5">
      <c r="A113" s="26"/>
      <c r="B113" s="26"/>
      <c r="C113" s="26" t="s">
        <v>25</v>
      </c>
      <c r="D113" s="26" t="s">
        <v>131</v>
      </c>
      <c r="E113" s="26"/>
      <c r="F113" s="26"/>
      <c r="G113" s="26"/>
      <c r="H113" s="122">
        <f>J113+NPV(discountrate,K113:AK113)</f>
        <v>0</v>
      </c>
      <c r="I113" s="26"/>
      <c r="J113" s="112">
        <f>SUM(J110:J112)</f>
        <v>0</v>
      </c>
      <c r="K113" s="112">
        <f t="shared" ref="K113:AM113" si="67">SUM(K110:K112)</f>
        <v>0</v>
      </c>
      <c r="L113" s="112">
        <f t="shared" si="67"/>
        <v>0</v>
      </c>
      <c r="M113" s="112">
        <f t="shared" si="67"/>
        <v>0</v>
      </c>
      <c r="N113" s="112">
        <f t="shared" si="67"/>
        <v>0</v>
      </c>
      <c r="O113" s="112">
        <f t="shared" si="67"/>
        <v>0</v>
      </c>
      <c r="P113" s="112">
        <f t="shared" si="67"/>
        <v>0</v>
      </c>
      <c r="Q113" s="112">
        <f t="shared" si="67"/>
        <v>0</v>
      </c>
      <c r="R113" s="112">
        <f t="shared" si="67"/>
        <v>0</v>
      </c>
      <c r="S113" s="112">
        <f t="shared" si="67"/>
        <v>0</v>
      </c>
      <c r="T113" s="112">
        <f t="shared" si="67"/>
        <v>0</v>
      </c>
      <c r="U113" s="112">
        <f t="shared" si="67"/>
        <v>0</v>
      </c>
      <c r="V113" s="112">
        <f t="shared" si="67"/>
        <v>0</v>
      </c>
      <c r="W113" s="112">
        <f t="shared" si="67"/>
        <v>0</v>
      </c>
      <c r="X113" s="112">
        <f t="shared" si="67"/>
        <v>0</v>
      </c>
      <c r="Y113" s="112">
        <f t="shared" si="67"/>
        <v>0</v>
      </c>
      <c r="Z113" s="112">
        <f t="shared" si="67"/>
        <v>0</v>
      </c>
      <c r="AA113" s="112">
        <f t="shared" si="67"/>
        <v>0</v>
      </c>
      <c r="AB113" s="112">
        <f t="shared" si="67"/>
        <v>0</v>
      </c>
      <c r="AC113" s="112">
        <f t="shared" si="67"/>
        <v>0</v>
      </c>
      <c r="AD113" s="112">
        <f t="shared" si="67"/>
        <v>0</v>
      </c>
      <c r="AE113" s="112">
        <f t="shared" si="67"/>
        <v>0</v>
      </c>
      <c r="AF113" s="112">
        <f t="shared" si="67"/>
        <v>0</v>
      </c>
      <c r="AG113" s="112">
        <f t="shared" si="67"/>
        <v>0</v>
      </c>
      <c r="AH113" s="112">
        <f t="shared" si="67"/>
        <v>0</v>
      </c>
      <c r="AI113" s="112">
        <f t="shared" si="67"/>
        <v>0</v>
      </c>
      <c r="AJ113" s="112">
        <f t="shared" si="67"/>
        <v>0</v>
      </c>
      <c r="AK113" s="112">
        <f t="shared" si="67"/>
        <v>0</v>
      </c>
      <c r="AL113" s="112">
        <f t="shared" si="67"/>
        <v>0</v>
      </c>
      <c r="AM113" s="112">
        <f t="shared" si="67"/>
        <v>0</v>
      </c>
      <c r="AN113" s="26"/>
      <c r="AO113" s="26"/>
      <c r="AP113" s="26"/>
      <c r="AQ113" s="26"/>
      <c r="AR113" s="26"/>
      <c r="AS113" s="26"/>
      <c r="AT113" s="26"/>
      <c r="AU113" s="26"/>
      <c r="AV113" s="26"/>
      <c r="AW113" s="26"/>
      <c r="AX113" s="26"/>
      <c r="AY113" s="26"/>
      <c r="AZ113" s="26"/>
    </row>
    <row r="114" spans="1:60" s="101" customFormat="1" x14ac:dyDescent="0.5">
      <c r="A114" s="26"/>
      <c r="B114" s="26"/>
      <c r="C114" s="26"/>
      <c r="D114" s="26"/>
      <c r="E114" s="26"/>
      <c r="F114" s="26"/>
      <c r="G114" s="26"/>
      <c r="H114" s="158"/>
      <c r="I114" s="26"/>
      <c r="J114" s="159"/>
      <c r="K114" s="159"/>
      <c r="L114" s="159"/>
      <c r="M114" s="159"/>
      <c r="N114" s="159"/>
      <c r="O114" s="159"/>
      <c r="P114" s="159"/>
      <c r="Q114" s="159"/>
      <c r="R114" s="159"/>
      <c r="S114" s="159"/>
      <c r="T114" s="159"/>
      <c r="U114" s="159"/>
      <c r="V114" s="159"/>
      <c r="W114" s="159"/>
      <c r="X114" s="159"/>
      <c r="Y114" s="159"/>
      <c r="Z114" s="159"/>
      <c r="AA114" s="159"/>
      <c r="AB114" s="159"/>
      <c r="AC114" s="159"/>
      <c r="AD114" s="159"/>
      <c r="AE114" s="159"/>
      <c r="AF114" s="159"/>
      <c r="AG114" s="159"/>
      <c r="AH114" s="159"/>
      <c r="AI114" s="159"/>
      <c r="AJ114" s="159"/>
      <c r="AK114" s="159"/>
      <c r="AL114" s="159"/>
      <c r="AM114" s="159"/>
      <c r="AN114" s="26"/>
      <c r="AO114" s="26"/>
      <c r="AP114" s="26"/>
      <c r="AQ114" s="26"/>
      <c r="AR114" s="26"/>
      <c r="AS114" s="26"/>
      <c r="AT114" s="26"/>
      <c r="AU114" s="26"/>
      <c r="AV114" s="26"/>
      <c r="AW114" s="26"/>
      <c r="AX114" s="26"/>
      <c r="AY114" s="26"/>
      <c r="AZ114" s="26"/>
    </row>
    <row r="115" spans="1:60" s="101" customFormat="1" x14ac:dyDescent="0.5">
      <c r="A115" s="26"/>
      <c r="B115" s="26"/>
      <c r="C115" s="26" t="s">
        <v>147</v>
      </c>
      <c r="D115" s="26"/>
      <c r="E115" s="26"/>
      <c r="F115" s="26"/>
      <c r="G115" s="26"/>
      <c r="H115" s="157"/>
      <c r="I115" s="26"/>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26"/>
      <c r="AO115" s="26"/>
      <c r="AP115" s="26"/>
      <c r="AQ115" s="26"/>
      <c r="AR115" s="26"/>
      <c r="AS115" s="26"/>
      <c r="AT115" s="26"/>
      <c r="AU115" s="26"/>
      <c r="AV115" s="26"/>
      <c r="AW115" s="26"/>
      <c r="AX115" s="26"/>
      <c r="AY115" s="26"/>
      <c r="AZ115" s="26"/>
    </row>
    <row r="116" spans="1:60" s="101" customFormat="1" x14ac:dyDescent="0.5">
      <c r="A116" s="26"/>
      <c r="B116" s="26"/>
      <c r="C116" s="26"/>
      <c r="D116" s="26"/>
      <c r="E116" s="26"/>
      <c r="F116" s="26"/>
      <c r="G116" s="26"/>
      <c r="H116" s="157"/>
      <c r="I116" s="26"/>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157"/>
      <c r="AL116" s="157"/>
      <c r="AM116" s="157"/>
      <c r="AN116" s="26"/>
      <c r="AO116" s="26"/>
      <c r="AP116" s="26"/>
      <c r="AQ116" s="26"/>
      <c r="AR116" s="26"/>
      <c r="AS116" s="26"/>
      <c r="AT116" s="26"/>
      <c r="AU116" s="26"/>
      <c r="AV116" s="26"/>
      <c r="AW116" s="26"/>
      <c r="AX116" s="26"/>
      <c r="AY116" s="26"/>
      <c r="AZ116" s="26"/>
    </row>
    <row r="117" spans="1:60" s="101" customFormat="1" x14ac:dyDescent="0.5">
      <c r="A117" s="26"/>
      <c r="B117" s="26"/>
      <c r="C117" s="25" t="s">
        <v>96</v>
      </c>
      <c r="D117" s="25" t="s">
        <v>35</v>
      </c>
      <c r="E117" s="26"/>
      <c r="F117" s="26"/>
      <c r="G117" s="26"/>
      <c r="H117" s="157"/>
      <c r="I117" s="26"/>
      <c r="J117" s="105">
        <f t="shared" ref="J117:AM117" si="68">INDEX(networkvolumes,MATCH($C117,volumesnames,0),MATCH(J$7,years,0))</f>
        <v>0</v>
      </c>
      <c r="K117" s="105">
        <f t="shared" si="68"/>
        <v>0</v>
      </c>
      <c r="L117" s="105">
        <f t="shared" si="68"/>
        <v>0</v>
      </c>
      <c r="M117" s="105">
        <f t="shared" si="68"/>
        <v>0</v>
      </c>
      <c r="N117" s="105">
        <f t="shared" si="68"/>
        <v>0</v>
      </c>
      <c r="O117" s="105">
        <f t="shared" si="68"/>
        <v>0</v>
      </c>
      <c r="P117" s="105">
        <f t="shared" si="68"/>
        <v>0</v>
      </c>
      <c r="Q117" s="105">
        <f t="shared" si="68"/>
        <v>0</v>
      </c>
      <c r="R117" s="105">
        <f t="shared" si="68"/>
        <v>0</v>
      </c>
      <c r="S117" s="105">
        <f t="shared" si="68"/>
        <v>0</v>
      </c>
      <c r="T117" s="105">
        <f t="shared" si="68"/>
        <v>0</v>
      </c>
      <c r="U117" s="105">
        <f t="shared" si="68"/>
        <v>0</v>
      </c>
      <c r="V117" s="105">
        <f t="shared" si="68"/>
        <v>0</v>
      </c>
      <c r="W117" s="105">
        <f t="shared" si="68"/>
        <v>0</v>
      </c>
      <c r="X117" s="105">
        <f t="shared" si="68"/>
        <v>0</v>
      </c>
      <c r="Y117" s="105">
        <f t="shared" si="68"/>
        <v>0</v>
      </c>
      <c r="Z117" s="105">
        <f t="shared" si="68"/>
        <v>0</v>
      </c>
      <c r="AA117" s="105">
        <f t="shared" si="68"/>
        <v>0</v>
      </c>
      <c r="AB117" s="105">
        <f t="shared" si="68"/>
        <v>0</v>
      </c>
      <c r="AC117" s="105">
        <f t="shared" si="68"/>
        <v>0</v>
      </c>
      <c r="AD117" s="105">
        <f t="shared" si="68"/>
        <v>0</v>
      </c>
      <c r="AE117" s="105">
        <f t="shared" si="68"/>
        <v>0</v>
      </c>
      <c r="AF117" s="105">
        <f t="shared" si="68"/>
        <v>0</v>
      </c>
      <c r="AG117" s="105">
        <f t="shared" si="68"/>
        <v>0</v>
      </c>
      <c r="AH117" s="105">
        <f t="shared" si="68"/>
        <v>0</v>
      </c>
      <c r="AI117" s="105">
        <f t="shared" si="68"/>
        <v>0</v>
      </c>
      <c r="AJ117" s="105">
        <f t="shared" si="68"/>
        <v>0</v>
      </c>
      <c r="AK117" s="105">
        <f t="shared" si="68"/>
        <v>0</v>
      </c>
      <c r="AL117" s="105">
        <f t="shared" si="68"/>
        <v>0</v>
      </c>
      <c r="AM117" s="105">
        <f t="shared" si="68"/>
        <v>0</v>
      </c>
      <c r="AN117" s="26"/>
      <c r="AO117" s="26"/>
      <c r="AP117" s="26"/>
      <c r="AQ117" s="26"/>
      <c r="AR117" s="26"/>
      <c r="AS117" s="26"/>
      <c r="AT117" s="26"/>
      <c r="AU117" s="26"/>
      <c r="AV117" s="26"/>
      <c r="AW117" s="26"/>
      <c r="AX117" s="26"/>
      <c r="AY117" s="26"/>
      <c r="AZ117" s="26"/>
    </row>
    <row r="118" spans="1:60" s="101" customFormat="1" x14ac:dyDescent="0.5">
      <c r="A118" s="26"/>
      <c r="B118" s="26"/>
      <c r="C118" s="25" t="s">
        <v>148</v>
      </c>
      <c r="D118" s="25" t="s">
        <v>150</v>
      </c>
      <c r="E118" s="26"/>
      <c r="F118" s="26"/>
      <c r="G118" s="26"/>
      <c r="H118" s="157"/>
      <c r="I118" s="26"/>
      <c r="J118" s="105">
        <f t="shared" ref="J118:AM118" si="69">INDEX(networkexistingcost,MATCH(J$7,years,0))</f>
        <v>0</v>
      </c>
      <c r="K118" s="105">
        <f t="shared" si="69"/>
        <v>0</v>
      </c>
      <c r="L118" s="105">
        <f t="shared" si="69"/>
        <v>0</v>
      </c>
      <c r="M118" s="105">
        <f t="shared" si="69"/>
        <v>0</v>
      </c>
      <c r="N118" s="105">
        <f t="shared" si="69"/>
        <v>0</v>
      </c>
      <c r="O118" s="105">
        <f t="shared" si="69"/>
        <v>0</v>
      </c>
      <c r="P118" s="105">
        <f t="shared" si="69"/>
        <v>0</v>
      </c>
      <c r="Q118" s="105">
        <f t="shared" si="69"/>
        <v>0</v>
      </c>
      <c r="R118" s="105">
        <f t="shared" si="69"/>
        <v>0</v>
      </c>
      <c r="S118" s="105">
        <f t="shared" si="69"/>
        <v>0</v>
      </c>
      <c r="T118" s="105">
        <f t="shared" si="69"/>
        <v>0</v>
      </c>
      <c r="U118" s="105">
        <f t="shared" si="69"/>
        <v>0</v>
      </c>
      <c r="V118" s="105">
        <f t="shared" si="69"/>
        <v>0</v>
      </c>
      <c r="W118" s="105">
        <f t="shared" si="69"/>
        <v>0</v>
      </c>
      <c r="X118" s="105">
        <f t="shared" si="69"/>
        <v>0</v>
      </c>
      <c r="Y118" s="105">
        <f t="shared" si="69"/>
        <v>0</v>
      </c>
      <c r="Z118" s="105">
        <f t="shared" si="69"/>
        <v>0</v>
      </c>
      <c r="AA118" s="105">
        <f t="shared" si="69"/>
        <v>0</v>
      </c>
      <c r="AB118" s="105">
        <f t="shared" si="69"/>
        <v>0</v>
      </c>
      <c r="AC118" s="105">
        <f t="shared" si="69"/>
        <v>0</v>
      </c>
      <c r="AD118" s="105">
        <f t="shared" si="69"/>
        <v>0</v>
      </c>
      <c r="AE118" s="105">
        <f t="shared" si="69"/>
        <v>0</v>
      </c>
      <c r="AF118" s="105">
        <f t="shared" si="69"/>
        <v>0</v>
      </c>
      <c r="AG118" s="105">
        <f t="shared" si="69"/>
        <v>0</v>
      </c>
      <c r="AH118" s="105">
        <f t="shared" si="69"/>
        <v>0</v>
      </c>
      <c r="AI118" s="105">
        <f t="shared" si="69"/>
        <v>0</v>
      </c>
      <c r="AJ118" s="105">
        <f t="shared" si="69"/>
        <v>0</v>
      </c>
      <c r="AK118" s="105">
        <f t="shared" si="69"/>
        <v>0</v>
      </c>
      <c r="AL118" s="105">
        <f t="shared" si="69"/>
        <v>0</v>
      </c>
      <c r="AM118" s="105">
        <f t="shared" si="69"/>
        <v>0</v>
      </c>
      <c r="AN118" s="26"/>
      <c r="AO118" s="26"/>
      <c r="AP118" s="26"/>
      <c r="AQ118" s="26"/>
      <c r="AR118" s="26"/>
      <c r="AS118" s="26"/>
      <c r="AT118" s="26"/>
      <c r="AU118" s="26"/>
      <c r="AV118" s="26"/>
      <c r="AW118" s="26"/>
      <c r="AX118" s="26"/>
      <c r="AY118" s="26"/>
      <c r="AZ118" s="26"/>
    </row>
    <row r="119" spans="1:60" s="101" customFormat="1" x14ac:dyDescent="0.5">
      <c r="A119" s="26"/>
      <c r="B119" s="26"/>
      <c r="C119" s="26" t="s">
        <v>149</v>
      </c>
      <c r="D119" s="26" t="s">
        <v>150</v>
      </c>
      <c r="E119" s="26"/>
      <c r="F119" s="26"/>
      <c r="G119" s="26"/>
      <c r="H119" s="105">
        <f>J119+NPV(discountrate,K119:AM119)</f>
        <v>0</v>
      </c>
      <c r="I119" s="26"/>
      <c r="J119" s="105">
        <f>J117*J118</f>
        <v>0</v>
      </c>
      <c r="K119" s="105">
        <f t="shared" ref="K119:AM119" si="70">K117*K118</f>
        <v>0</v>
      </c>
      <c r="L119" s="105">
        <f t="shared" si="70"/>
        <v>0</v>
      </c>
      <c r="M119" s="105">
        <f t="shared" si="70"/>
        <v>0</v>
      </c>
      <c r="N119" s="105">
        <f t="shared" si="70"/>
        <v>0</v>
      </c>
      <c r="O119" s="105">
        <f t="shared" si="70"/>
        <v>0</v>
      </c>
      <c r="P119" s="105">
        <f t="shared" si="70"/>
        <v>0</v>
      </c>
      <c r="Q119" s="105">
        <f t="shared" si="70"/>
        <v>0</v>
      </c>
      <c r="R119" s="105">
        <f t="shared" si="70"/>
        <v>0</v>
      </c>
      <c r="S119" s="105">
        <f t="shared" si="70"/>
        <v>0</v>
      </c>
      <c r="T119" s="105">
        <f t="shared" si="70"/>
        <v>0</v>
      </c>
      <c r="U119" s="105">
        <f t="shared" si="70"/>
        <v>0</v>
      </c>
      <c r="V119" s="105">
        <f t="shared" si="70"/>
        <v>0</v>
      </c>
      <c r="W119" s="105">
        <f t="shared" si="70"/>
        <v>0</v>
      </c>
      <c r="X119" s="105">
        <f t="shared" si="70"/>
        <v>0</v>
      </c>
      <c r="Y119" s="105">
        <f t="shared" si="70"/>
        <v>0</v>
      </c>
      <c r="Z119" s="105">
        <f t="shared" si="70"/>
        <v>0</v>
      </c>
      <c r="AA119" s="105">
        <f t="shared" si="70"/>
        <v>0</v>
      </c>
      <c r="AB119" s="105">
        <f t="shared" si="70"/>
        <v>0</v>
      </c>
      <c r="AC119" s="105">
        <f t="shared" si="70"/>
        <v>0</v>
      </c>
      <c r="AD119" s="105">
        <f t="shared" si="70"/>
        <v>0</v>
      </c>
      <c r="AE119" s="105">
        <f t="shared" si="70"/>
        <v>0</v>
      </c>
      <c r="AF119" s="105">
        <f t="shared" si="70"/>
        <v>0</v>
      </c>
      <c r="AG119" s="105">
        <f t="shared" si="70"/>
        <v>0</v>
      </c>
      <c r="AH119" s="105">
        <f t="shared" si="70"/>
        <v>0</v>
      </c>
      <c r="AI119" s="105">
        <f t="shared" si="70"/>
        <v>0</v>
      </c>
      <c r="AJ119" s="105">
        <f t="shared" si="70"/>
        <v>0</v>
      </c>
      <c r="AK119" s="105">
        <f t="shared" si="70"/>
        <v>0</v>
      </c>
      <c r="AL119" s="105">
        <f t="shared" si="70"/>
        <v>0</v>
      </c>
      <c r="AM119" s="105">
        <f t="shared" si="70"/>
        <v>0</v>
      </c>
      <c r="AN119" s="26"/>
      <c r="AO119" s="26"/>
      <c r="AP119" s="26"/>
      <c r="AQ119" s="26"/>
      <c r="AR119" s="26"/>
      <c r="AS119" s="26"/>
      <c r="AT119" s="26"/>
      <c r="AU119" s="26"/>
      <c r="AV119" s="26"/>
      <c r="AW119" s="26"/>
      <c r="AX119" s="26"/>
      <c r="AY119" s="26"/>
      <c r="AZ119" s="26"/>
    </row>
    <row r="120" spans="1:60" x14ac:dyDescent="0.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row>
    <row r="121" spans="1:60" s="67" customFormat="1" ht="35.5" thickBot="1" x14ac:dyDescent="1">
      <c r="A121" s="37"/>
      <c r="B121" s="141" t="str">
        <f>asset2name</f>
        <v>Sewerage treatment plant upgrade name</v>
      </c>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200"/>
      <c r="AN121" s="200"/>
      <c r="AO121" s="37"/>
      <c r="AP121" s="25"/>
      <c r="AQ121" s="25"/>
      <c r="AR121" s="37"/>
      <c r="AS121" s="37"/>
      <c r="AT121" s="37"/>
      <c r="AU121" s="37"/>
      <c r="AV121" s="37"/>
      <c r="AW121" s="37"/>
      <c r="AX121" s="37"/>
      <c r="AY121" s="37"/>
      <c r="AZ121" s="37"/>
    </row>
    <row r="122" spans="1:60" x14ac:dyDescent="0.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row>
    <row r="123" spans="1:60" ht="32" thickBot="1" x14ac:dyDescent="0.9">
      <c r="A123" s="25"/>
      <c r="B123" s="25"/>
      <c r="C123" s="25"/>
      <c r="D123" s="25"/>
      <c r="E123" s="25"/>
      <c r="F123" s="25"/>
      <c r="G123" s="25"/>
      <c r="H123" s="203" t="s">
        <v>37</v>
      </c>
      <c r="I123" s="203" t="s">
        <v>38</v>
      </c>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row>
    <row r="124" spans="1:60" ht="31.5" x14ac:dyDescent="0.85">
      <c r="A124" s="25"/>
      <c r="B124" s="94"/>
      <c r="C124" s="140" t="str">
        <f>B121</f>
        <v>Sewerage treatment plant upgrade name</v>
      </c>
      <c r="D124" s="113" t="s">
        <v>114</v>
      </c>
      <c r="E124" s="114"/>
      <c r="F124" s="115"/>
      <c r="G124" s="114"/>
      <c r="H124" s="204" t="e">
        <f>H130</f>
        <v>#DIV/0!</v>
      </c>
      <c r="I124" s="204" t="e">
        <f>H180</f>
        <v>#DIV/0!</v>
      </c>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row>
    <row r="125" spans="1:60" x14ac:dyDescent="0.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row>
    <row r="126" spans="1:60" ht="33" customHeight="1" thickBot="1" x14ac:dyDescent="1">
      <c r="A126" s="24"/>
      <c r="B126" s="25"/>
      <c r="C126" s="205" t="s">
        <v>37</v>
      </c>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200"/>
      <c r="AB126" s="200"/>
      <c r="AC126" s="200"/>
      <c r="AD126" s="200"/>
      <c r="AE126" s="200"/>
      <c r="AF126" s="200"/>
      <c r="AG126" s="200"/>
      <c r="AH126" s="200"/>
      <c r="AI126" s="200"/>
      <c r="AJ126" s="200"/>
      <c r="AK126" s="200"/>
      <c r="AL126" s="200"/>
      <c r="AM126" s="200"/>
      <c r="AN126" s="200"/>
      <c r="AO126" s="213"/>
      <c r="AP126" s="214"/>
      <c r="AQ126" s="214"/>
      <c r="AR126" s="214"/>
      <c r="AS126" s="214"/>
      <c r="AT126" s="214"/>
      <c r="AU126" s="214"/>
      <c r="AV126" s="214"/>
      <c r="AW126" s="214"/>
      <c r="AX126" s="214"/>
      <c r="AY126" s="214"/>
      <c r="AZ126" s="214"/>
    </row>
    <row r="127" spans="1:60" ht="31.5" x14ac:dyDescent="0.85">
      <c r="A127" s="25"/>
      <c r="B127" s="94"/>
      <c r="C127" s="94"/>
      <c r="D127" s="94"/>
      <c r="E127" s="94"/>
      <c r="F127" s="95"/>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row>
    <row r="128" spans="1:60" x14ac:dyDescent="0.5">
      <c r="A128" s="25"/>
      <c r="B128" s="25"/>
      <c r="C128" s="102" t="s">
        <v>28</v>
      </c>
      <c r="D128" s="25"/>
      <c r="E128" s="25"/>
      <c r="F128" s="25"/>
      <c r="G128" s="25"/>
      <c r="H128" s="104">
        <f>(H168-H146)</f>
        <v>0</v>
      </c>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row>
    <row r="129" spans="1:60" x14ac:dyDescent="0.5">
      <c r="A129" s="25"/>
      <c r="B129" s="25"/>
      <c r="C129" s="102" t="s">
        <v>29</v>
      </c>
      <c r="D129" s="25"/>
      <c r="E129" s="25"/>
      <c r="F129" s="25"/>
      <c r="G129" s="25"/>
      <c r="H129" s="104">
        <f>(H164-H142)*1000000</f>
        <v>0</v>
      </c>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row>
    <row r="130" spans="1:60" x14ac:dyDescent="0.5">
      <c r="A130" s="25"/>
      <c r="B130" s="25"/>
      <c r="C130" s="103" t="s">
        <v>27</v>
      </c>
      <c r="D130" s="103" t="s">
        <v>114</v>
      </c>
      <c r="E130" s="26"/>
      <c r="F130" s="25"/>
      <c r="G130" s="25"/>
      <c r="H130" s="105" t="e">
        <f>H128/H129</f>
        <v>#DIV/0!</v>
      </c>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row>
    <row r="131" spans="1:60" x14ac:dyDescent="0.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row>
    <row r="132" spans="1:60" ht="19.5" x14ac:dyDescent="0.55000000000000004">
      <c r="A132" s="25"/>
      <c r="C132" s="97" t="s">
        <v>94</v>
      </c>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row>
    <row r="133" spans="1:60" x14ac:dyDescent="0.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row>
    <row r="134" spans="1:60" x14ac:dyDescent="0.5">
      <c r="A134" s="25"/>
      <c r="B134" s="25"/>
      <c r="C134" s="98" t="s">
        <v>21</v>
      </c>
      <c r="D134" s="99"/>
      <c r="E134" s="99"/>
      <c r="F134" s="25"/>
      <c r="G134" s="25"/>
      <c r="H134" s="99"/>
      <c r="I134" s="25"/>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25"/>
      <c r="AG134" s="25"/>
      <c r="AH134" s="25"/>
      <c r="AI134" s="25"/>
      <c r="AJ134" s="25"/>
      <c r="AK134" s="25"/>
      <c r="AL134" s="25"/>
      <c r="AM134" s="25"/>
      <c r="AN134" s="25"/>
      <c r="AO134" s="25"/>
      <c r="AP134" s="25"/>
      <c r="AQ134" s="25"/>
      <c r="AR134" s="25"/>
      <c r="AS134" s="25"/>
      <c r="AT134" s="25"/>
      <c r="AU134" s="25"/>
      <c r="AV134" s="25"/>
      <c r="AW134" s="25"/>
      <c r="AX134" s="25"/>
      <c r="AY134" s="25"/>
      <c r="AZ134" s="25"/>
    </row>
    <row r="135" spans="1:60" x14ac:dyDescent="0.5">
      <c r="A135" s="25"/>
      <c r="B135" s="25"/>
      <c r="C135" s="98" t="s">
        <v>18</v>
      </c>
      <c r="D135" s="98"/>
      <c r="E135" s="98"/>
      <c r="F135" s="25"/>
      <c r="G135" s="25"/>
      <c r="H135" s="99"/>
      <c r="I135" s="25"/>
      <c r="J135" s="107">
        <f t="shared" ref="J135:AM135" si="71">IF(J142&lt;INDEX(tippingpoints,MATCH($B121,tippingpointnames,0),1),0,1)</f>
        <v>1</v>
      </c>
      <c r="K135" s="107">
        <f t="shared" si="71"/>
        <v>1</v>
      </c>
      <c r="L135" s="107">
        <f t="shared" si="71"/>
        <v>1</v>
      </c>
      <c r="M135" s="107">
        <f t="shared" si="71"/>
        <v>1</v>
      </c>
      <c r="N135" s="107">
        <f t="shared" si="71"/>
        <v>1</v>
      </c>
      <c r="O135" s="107">
        <f t="shared" si="71"/>
        <v>1</v>
      </c>
      <c r="P135" s="107">
        <f t="shared" si="71"/>
        <v>1</v>
      </c>
      <c r="Q135" s="107">
        <f t="shared" si="71"/>
        <v>1</v>
      </c>
      <c r="R135" s="107">
        <f t="shared" si="71"/>
        <v>1</v>
      </c>
      <c r="S135" s="107">
        <f t="shared" si="71"/>
        <v>1</v>
      </c>
      <c r="T135" s="107">
        <f t="shared" si="71"/>
        <v>1</v>
      </c>
      <c r="U135" s="107">
        <f t="shared" si="71"/>
        <v>1</v>
      </c>
      <c r="V135" s="107">
        <f t="shared" si="71"/>
        <v>1</v>
      </c>
      <c r="W135" s="107">
        <f t="shared" si="71"/>
        <v>1</v>
      </c>
      <c r="X135" s="107">
        <f t="shared" si="71"/>
        <v>1</v>
      </c>
      <c r="Y135" s="107">
        <f t="shared" si="71"/>
        <v>1</v>
      </c>
      <c r="Z135" s="107">
        <f t="shared" si="71"/>
        <v>1</v>
      </c>
      <c r="AA135" s="107">
        <f t="shared" si="71"/>
        <v>1</v>
      </c>
      <c r="AB135" s="107">
        <f t="shared" si="71"/>
        <v>1</v>
      </c>
      <c r="AC135" s="107">
        <f t="shared" si="71"/>
        <v>1</v>
      </c>
      <c r="AD135" s="107">
        <f t="shared" si="71"/>
        <v>1</v>
      </c>
      <c r="AE135" s="107">
        <f t="shared" si="71"/>
        <v>1</v>
      </c>
      <c r="AF135" s="107">
        <f t="shared" si="71"/>
        <v>1</v>
      </c>
      <c r="AG135" s="107">
        <f t="shared" si="71"/>
        <v>1</v>
      </c>
      <c r="AH135" s="107">
        <f t="shared" si="71"/>
        <v>1</v>
      </c>
      <c r="AI135" s="107">
        <f t="shared" si="71"/>
        <v>1</v>
      </c>
      <c r="AJ135" s="107">
        <f t="shared" si="71"/>
        <v>1</v>
      </c>
      <c r="AK135" s="107">
        <f t="shared" si="71"/>
        <v>1</v>
      </c>
      <c r="AL135" s="107">
        <f t="shared" si="71"/>
        <v>1</v>
      </c>
      <c r="AM135" s="107">
        <f t="shared" si="71"/>
        <v>1</v>
      </c>
      <c r="AN135" s="25"/>
      <c r="AO135" s="25"/>
      <c r="AP135" s="25"/>
      <c r="AQ135" s="25"/>
      <c r="AR135" s="25"/>
      <c r="AS135" s="25"/>
      <c r="AT135" s="25"/>
      <c r="AU135" s="25"/>
      <c r="AV135" s="25"/>
      <c r="AW135" s="25"/>
      <c r="AX135" s="25"/>
      <c r="AY135" s="25"/>
      <c r="AZ135" s="25"/>
    </row>
    <row r="136" spans="1:60" x14ac:dyDescent="0.5">
      <c r="A136" s="25"/>
      <c r="B136" s="25"/>
      <c r="C136" s="98" t="s">
        <v>19</v>
      </c>
      <c r="D136" s="98"/>
      <c r="E136" s="98"/>
      <c r="F136" s="25"/>
      <c r="G136" s="25"/>
      <c r="H136" s="99"/>
      <c r="I136" s="25"/>
      <c r="J136" s="109">
        <f>IF(SUM($J135:J135)=0,0,1)</f>
        <v>1</v>
      </c>
      <c r="K136" s="109">
        <f>IF(SUM($J135:K135)=0,0,1)</f>
        <v>1</v>
      </c>
      <c r="L136" s="109">
        <f>IF(SUM($J135:L135)=0,0,1)</f>
        <v>1</v>
      </c>
      <c r="M136" s="109">
        <f>IF(SUM($J135:M135)=0,0,1)</f>
        <v>1</v>
      </c>
      <c r="N136" s="109">
        <f>IF(SUM($J135:N135)=0,0,1)</f>
        <v>1</v>
      </c>
      <c r="O136" s="109">
        <f>IF(SUM($J135:O135)=0,0,1)</f>
        <v>1</v>
      </c>
      <c r="P136" s="109">
        <f>IF(SUM($J135:P135)=0,0,1)</f>
        <v>1</v>
      </c>
      <c r="Q136" s="109">
        <f>IF(SUM($J135:Q135)=0,0,1)</f>
        <v>1</v>
      </c>
      <c r="R136" s="109">
        <f>IF(SUM($J135:R135)=0,0,1)</f>
        <v>1</v>
      </c>
      <c r="S136" s="109">
        <f>IF(SUM($J135:S135)=0,0,1)</f>
        <v>1</v>
      </c>
      <c r="T136" s="109">
        <f>IF(SUM($J135:T135)=0,0,1)</f>
        <v>1</v>
      </c>
      <c r="U136" s="109">
        <f>IF(SUM($J135:U135)=0,0,1)</f>
        <v>1</v>
      </c>
      <c r="V136" s="109">
        <f>IF(SUM($J135:V135)=0,0,1)</f>
        <v>1</v>
      </c>
      <c r="W136" s="109">
        <f>IF(SUM($J135:W135)=0,0,1)</f>
        <v>1</v>
      </c>
      <c r="X136" s="109">
        <f>IF(SUM($J135:X135)=0,0,1)</f>
        <v>1</v>
      </c>
      <c r="Y136" s="109">
        <f>IF(SUM($J135:Y135)=0,0,1)</f>
        <v>1</v>
      </c>
      <c r="Z136" s="109">
        <f>IF(SUM($J135:Z135)=0,0,1)</f>
        <v>1</v>
      </c>
      <c r="AA136" s="109">
        <f>IF(SUM($J135:AA135)=0,0,1)</f>
        <v>1</v>
      </c>
      <c r="AB136" s="109">
        <f>IF(SUM($J135:AB135)=0,0,1)</f>
        <v>1</v>
      </c>
      <c r="AC136" s="109">
        <f>IF(SUM($J135:AC135)=0,0,1)</f>
        <v>1</v>
      </c>
      <c r="AD136" s="109">
        <f>IF(SUM($J135:AD135)=0,0,1)</f>
        <v>1</v>
      </c>
      <c r="AE136" s="109">
        <f>IF(SUM($J135:AE135)=0,0,1)</f>
        <v>1</v>
      </c>
      <c r="AF136" s="109">
        <f>IF(SUM($J135:AF135)=0,0,1)</f>
        <v>1</v>
      </c>
      <c r="AG136" s="109">
        <f>IF(SUM($J135:AG135)=0,0,1)</f>
        <v>1</v>
      </c>
      <c r="AH136" s="109">
        <f>IF(SUM($J135:AH135)=0,0,1)</f>
        <v>1</v>
      </c>
      <c r="AI136" s="109">
        <f>IF(SUM($J135:AI135)=0,0,1)</f>
        <v>1</v>
      </c>
      <c r="AJ136" s="109">
        <f>IF(SUM($J135:AJ135)=0,0,1)</f>
        <v>1</v>
      </c>
      <c r="AK136" s="109">
        <f>IF(SUM($J135:AK135)=0,0,1)</f>
        <v>1</v>
      </c>
      <c r="AL136" s="109">
        <f>IF(SUM($J135:AL135)=0,0,1)</f>
        <v>1</v>
      </c>
      <c r="AM136" s="109">
        <f>IF(SUM($J135:AM135)=0,0,1)</f>
        <v>1</v>
      </c>
      <c r="AN136" s="25"/>
      <c r="AO136" s="25"/>
      <c r="AP136" s="25"/>
      <c r="AQ136" s="25"/>
      <c r="AR136" s="25"/>
      <c r="AS136" s="25"/>
      <c r="AT136" s="25"/>
      <c r="AU136" s="25"/>
      <c r="AV136" s="25"/>
      <c r="AW136" s="25"/>
      <c r="AX136" s="25"/>
      <c r="AY136" s="25"/>
      <c r="AZ136" s="25"/>
    </row>
    <row r="137" spans="1:60" x14ac:dyDescent="0.5">
      <c r="A137" s="25"/>
      <c r="B137" s="25"/>
      <c r="C137" s="98" t="s">
        <v>20</v>
      </c>
      <c r="D137" s="98"/>
      <c r="E137" s="98"/>
      <c r="F137" s="25"/>
      <c r="G137" s="25"/>
      <c r="H137" s="99"/>
      <c r="I137" s="25"/>
      <c r="J137" s="109">
        <f>IF($AM136=0,0,IF(AND(J136=0,J135=0),K137-1,0))</f>
        <v>0</v>
      </c>
      <c r="K137" s="109">
        <f t="shared" ref="K137:AM137" si="72">IF($AM136=0,0,IF(AND(K136=0,K135=0),L137-1,0))</f>
        <v>0</v>
      </c>
      <c r="L137" s="109">
        <f t="shared" si="72"/>
        <v>0</v>
      </c>
      <c r="M137" s="109">
        <f t="shared" si="72"/>
        <v>0</v>
      </c>
      <c r="N137" s="109">
        <f t="shared" si="72"/>
        <v>0</v>
      </c>
      <c r="O137" s="109">
        <f t="shared" si="72"/>
        <v>0</v>
      </c>
      <c r="P137" s="109">
        <f t="shared" si="72"/>
        <v>0</v>
      </c>
      <c r="Q137" s="109">
        <f t="shared" si="72"/>
        <v>0</v>
      </c>
      <c r="R137" s="109">
        <f t="shared" si="72"/>
        <v>0</v>
      </c>
      <c r="S137" s="109">
        <f t="shared" si="72"/>
        <v>0</v>
      </c>
      <c r="T137" s="109">
        <f t="shared" si="72"/>
        <v>0</v>
      </c>
      <c r="U137" s="109">
        <f t="shared" si="72"/>
        <v>0</v>
      </c>
      <c r="V137" s="109">
        <f t="shared" si="72"/>
        <v>0</v>
      </c>
      <c r="W137" s="109">
        <f t="shared" si="72"/>
        <v>0</v>
      </c>
      <c r="X137" s="109">
        <f t="shared" si="72"/>
        <v>0</v>
      </c>
      <c r="Y137" s="109">
        <f t="shared" si="72"/>
        <v>0</v>
      </c>
      <c r="Z137" s="109">
        <f t="shared" si="72"/>
        <v>0</v>
      </c>
      <c r="AA137" s="109">
        <f t="shared" si="72"/>
        <v>0</v>
      </c>
      <c r="AB137" s="109">
        <f t="shared" si="72"/>
        <v>0</v>
      </c>
      <c r="AC137" s="109">
        <f t="shared" si="72"/>
        <v>0</v>
      </c>
      <c r="AD137" s="109">
        <f t="shared" si="72"/>
        <v>0</v>
      </c>
      <c r="AE137" s="109">
        <f t="shared" si="72"/>
        <v>0</v>
      </c>
      <c r="AF137" s="109">
        <f t="shared" si="72"/>
        <v>0</v>
      </c>
      <c r="AG137" s="109">
        <f t="shared" si="72"/>
        <v>0</v>
      </c>
      <c r="AH137" s="109">
        <f t="shared" si="72"/>
        <v>0</v>
      </c>
      <c r="AI137" s="109">
        <f t="shared" si="72"/>
        <v>0</v>
      </c>
      <c r="AJ137" s="109">
        <f t="shared" si="72"/>
        <v>0</v>
      </c>
      <c r="AK137" s="109">
        <f t="shared" si="72"/>
        <v>0</v>
      </c>
      <c r="AL137" s="109">
        <f t="shared" si="72"/>
        <v>0</v>
      </c>
      <c r="AM137" s="109">
        <f t="shared" si="72"/>
        <v>0</v>
      </c>
      <c r="AN137" s="25"/>
      <c r="AO137" s="25"/>
      <c r="AP137" s="25"/>
      <c r="AQ137" s="25"/>
      <c r="AR137" s="25"/>
      <c r="AS137" s="25"/>
      <c r="AT137" s="25"/>
      <c r="AU137" s="25"/>
      <c r="AV137" s="25"/>
      <c r="AW137" s="25"/>
      <c r="AX137" s="25"/>
      <c r="AY137" s="25"/>
      <c r="AZ137" s="25"/>
    </row>
    <row r="138" spans="1:60" x14ac:dyDescent="0.5">
      <c r="A138" s="25"/>
      <c r="B138" s="25"/>
      <c r="C138" s="98" t="s">
        <v>118</v>
      </c>
      <c r="D138" s="98"/>
      <c r="E138" s="98"/>
      <c r="F138" s="108"/>
      <c r="G138" s="98"/>
      <c r="H138" s="99"/>
      <c r="I138" s="99"/>
      <c r="J138" s="109">
        <f t="shared" ref="J138:AM138" si="73">IF(ABS(J137)=INDEX(leadtimes,MATCH($B121,assetnames,0),1),1,0)</f>
        <v>1</v>
      </c>
      <c r="K138" s="109">
        <f t="shared" si="73"/>
        <v>1</v>
      </c>
      <c r="L138" s="109">
        <f t="shared" si="73"/>
        <v>1</v>
      </c>
      <c r="M138" s="109">
        <f t="shared" si="73"/>
        <v>1</v>
      </c>
      <c r="N138" s="109">
        <f t="shared" si="73"/>
        <v>1</v>
      </c>
      <c r="O138" s="109">
        <f t="shared" si="73"/>
        <v>1</v>
      </c>
      <c r="P138" s="109">
        <f t="shared" si="73"/>
        <v>1</v>
      </c>
      <c r="Q138" s="109">
        <f t="shared" si="73"/>
        <v>1</v>
      </c>
      <c r="R138" s="109">
        <f t="shared" si="73"/>
        <v>1</v>
      </c>
      <c r="S138" s="109">
        <f t="shared" si="73"/>
        <v>1</v>
      </c>
      <c r="T138" s="109">
        <f t="shared" si="73"/>
        <v>1</v>
      </c>
      <c r="U138" s="109">
        <f t="shared" si="73"/>
        <v>1</v>
      </c>
      <c r="V138" s="109">
        <f t="shared" si="73"/>
        <v>1</v>
      </c>
      <c r="W138" s="109">
        <f t="shared" si="73"/>
        <v>1</v>
      </c>
      <c r="X138" s="109">
        <f t="shared" si="73"/>
        <v>1</v>
      </c>
      <c r="Y138" s="109">
        <f t="shared" si="73"/>
        <v>1</v>
      </c>
      <c r="Z138" s="109">
        <f t="shared" si="73"/>
        <v>1</v>
      </c>
      <c r="AA138" s="109">
        <f t="shared" si="73"/>
        <v>1</v>
      </c>
      <c r="AB138" s="109">
        <f t="shared" si="73"/>
        <v>1</v>
      </c>
      <c r="AC138" s="109">
        <f t="shared" si="73"/>
        <v>1</v>
      </c>
      <c r="AD138" s="109">
        <f t="shared" si="73"/>
        <v>1</v>
      </c>
      <c r="AE138" s="109">
        <f t="shared" si="73"/>
        <v>1</v>
      </c>
      <c r="AF138" s="109">
        <f t="shared" si="73"/>
        <v>1</v>
      </c>
      <c r="AG138" s="109">
        <f t="shared" si="73"/>
        <v>1</v>
      </c>
      <c r="AH138" s="109">
        <f t="shared" si="73"/>
        <v>1</v>
      </c>
      <c r="AI138" s="109">
        <f t="shared" si="73"/>
        <v>1</v>
      </c>
      <c r="AJ138" s="109">
        <f t="shared" si="73"/>
        <v>1</v>
      </c>
      <c r="AK138" s="109">
        <f t="shared" si="73"/>
        <v>1</v>
      </c>
      <c r="AL138" s="109">
        <f t="shared" si="73"/>
        <v>1</v>
      </c>
      <c r="AM138" s="109">
        <f t="shared" si="73"/>
        <v>1</v>
      </c>
      <c r="AN138" s="109"/>
      <c r="AO138" s="109"/>
      <c r="AP138" s="109"/>
      <c r="AQ138" s="109"/>
      <c r="AR138" s="109"/>
      <c r="AS138" s="109"/>
      <c r="AT138" s="109"/>
      <c r="AU138" s="109"/>
      <c r="AV138" s="109"/>
      <c r="AW138" s="109"/>
      <c r="AX138" s="109"/>
      <c r="AY138" s="109"/>
      <c r="AZ138" s="109"/>
      <c r="BA138" s="109"/>
      <c r="BB138" s="109"/>
      <c r="BC138" s="109"/>
      <c r="BD138" s="109"/>
      <c r="BE138" s="100"/>
      <c r="BF138" s="100"/>
      <c r="BG138" s="100"/>
      <c r="BH138" s="100"/>
    </row>
    <row r="139" spans="1:60" x14ac:dyDescent="0.5">
      <c r="A139" s="25"/>
      <c r="B139" s="25"/>
      <c r="C139" s="98" t="s">
        <v>119</v>
      </c>
      <c r="D139" s="98"/>
      <c r="E139" s="98"/>
      <c r="F139" s="108"/>
      <c r="G139" s="98"/>
      <c r="H139" s="99"/>
      <c r="I139" s="99"/>
      <c r="J139" s="109">
        <f>IF(SUM($J138:J138)=1,1,0)+I139</f>
        <v>1</v>
      </c>
      <c r="K139" s="109">
        <f>IF(SUM($J138:K138)=1,1,0)+J139</f>
        <v>1</v>
      </c>
      <c r="L139" s="109">
        <f>IF(SUM($J138:L138)=1,1,0)+K139</f>
        <v>1</v>
      </c>
      <c r="M139" s="109">
        <f>IF(SUM($J138:M138)=1,1,0)+L139</f>
        <v>1</v>
      </c>
      <c r="N139" s="109">
        <f>IF(SUM($J138:N138)=1,1,0)+M139</f>
        <v>1</v>
      </c>
      <c r="O139" s="109">
        <f>IF(SUM($J138:O138)=1,1,0)+N139</f>
        <v>1</v>
      </c>
      <c r="P139" s="109">
        <f>IF(SUM($J138:P138)=1,1,0)+O139</f>
        <v>1</v>
      </c>
      <c r="Q139" s="109">
        <f>IF(SUM($J138:Q138)=1,1,0)+P139</f>
        <v>1</v>
      </c>
      <c r="R139" s="109">
        <f>IF(SUM($J138:R138)=1,1,0)+Q139</f>
        <v>1</v>
      </c>
      <c r="S139" s="109">
        <f>IF(SUM($J138:S138)=1,1,0)+R139</f>
        <v>1</v>
      </c>
      <c r="T139" s="109">
        <f>IF(SUM($J138:T138)=1,1,0)+S139</f>
        <v>1</v>
      </c>
      <c r="U139" s="109">
        <f>IF(SUM($J138:U138)=1,1,0)+T139</f>
        <v>1</v>
      </c>
      <c r="V139" s="109">
        <f>IF(SUM($J138:V138)=1,1,0)+U139</f>
        <v>1</v>
      </c>
      <c r="W139" s="109">
        <f>IF(SUM($J138:W138)=1,1,0)+V139</f>
        <v>1</v>
      </c>
      <c r="X139" s="109">
        <f>IF(SUM($J138:X138)=1,1,0)+W139</f>
        <v>1</v>
      </c>
      <c r="Y139" s="109">
        <f>IF(SUM($J138:Y138)=1,1,0)+X139</f>
        <v>1</v>
      </c>
      <c r="Z139" s="109">
        <f>IF(SUM($J138:Z138)=1,1,0)+Y139</f>
        <v>1</v>
      </c>
      <c r="AA139" s="109">
        <f>IF(SUM($J138:AA138)=1,1,0)+Z139</f>
        <v>1</v>
      </c>
      <c r="AB139" s="109">
        <f>IF(SUM($J138:AB138)=1,1,0)+AA139</f>
        <v>1</v>
      </c>
      <c r="AC139" s="109">
        <f>IF(SUM($J138:AC138)=1,1,0)+AB139</f>
        <v>1</v>
      </c>
      <c r="AD139" s="109">
        <f>IF(SUM($J138:AD138)=1,1,0)+AC139</f>
        <v>1</v>
      </c>
      <c r="AE139" s="109">
        <f>IF(SUM($J138:AE138)=1,1,0)+AD139</f>
        <v>1</v>
      </c>
      <c r="AF139" s="109">
        <f>IF(SUM($J138:AF138)=1,1,0)+AE139</f>
        <v>1</v>
      </c>
      <c r="AG139" s="109">
        <f>IF(SUM($J138:AG138)=1,1,0)+AF139</f>
        <v>1</v>
      </c>
      <c r="AH139" s="109">
        <f>IF(SUM($J138:AH138)=1,1,0)+AG139</f>
        <v>1</v>
      </c>
      <c r="AI139" s="109">
        <f>IF(SUM($J138:AI138)=1,1,0)+AH139</f>
        <v>1</v>
      </c>
      <c r="AJ139" s="109">
        <f>IF(SUM($J138:AJ138)=1,1,0)+AI139</f>
        <v>1</v>
      </c>
      <c r="AK139" s="109">
        <f>IF(SUM($J138:AK138)=1,1,0)+AJ139</f>
        <v>1</v>
      </c>
      <c r="AL139" s="109">
        <f>IF(SUM($J138:AL138)=1,1,0)+AK139</f>
        <v>1</v>
      </c>
      <c r="AM139" s="109">
        <f>IF(SUM($J138:AM138)=1,1,0)+AL139</f>
        <v>1</v>
      </c>
      <c r="AN139" s="109"/>
      <c r="AO139" s="109"/>
      <c r="AP139" s="109"/>
      <c r="AQ139" s="109"/>
      <c r="AR139" s="109"/>
      <c r="AS139" s="109"/>
      <c r="AT139" s="109"/>
      <c r="AU139" s="109"/>
      <c r="AV139" s="109"/>
      <c r="AW139" s="109"/>
      <c r="AX139" s="109"/>
      <c r="AY139" s="109"/>
      <c r="AZ139" s="109"/>
      <c r="BA139" s="109"/>
      <c r="BB139" s="109"/>
      <c r="BC139" s="109"/>
      <c r="BD139" s="109"/>
      <c r="BE139" s="100"/>
      <c r="BF139" s="100"/>
      <c r="BG139" s="100"/>
      <c r="BH139" s="100"/>
    </row>
    <row r="140" spans="1:60" ht="15.65" customHeight="1" x14ac:dyDescent="0.5">
      <c r="A140" s="25"/>
      <c r="B140" s="25"/>
      <c r="C140" s="98" t="s">
        <v>117</v>
      </c>
      <c r="D140" s="99"/>
      <c r="E140" s="99"/>
      <c r="F140" s="106"/>
      <c r="G140" s="99"/>
      <c r="H140" s="99"/>
      <c r="I140" s="99"/>
      <c r="J140" s="107">
        <f>SUM($J135:J135)</f>
        <v>1</v>
      </c>
      <c r="K140" s="107">
        <f>SUM($J135:K135)</f>
        <v>2</v>
      </c>
      <c r="L140" s="107">
        <f>SUM($J135:L135)</f>
        <v>3</v>
      </c>
      <c r="M140" s="107">
        <f>SUM($J135:M135)</f>
        <v>4</v>
      </c>
      <c r="N140" s="107">
        <f>SUM($J135:N135)</f>
        <v>5</v>
      </c>
      <c r="O140" s="107">
        <f>SUM($J135:O135)</f>
        <v>6</v>
      </c>
      <c r="P140" s="107">
        <f>SUM($J135:P135)</f>
        <v>7</v>
      </c>
      <c r="Q140" s="107">
        <f>SUM($J135:Q135)</f>
        <v>8</v>
      </c>
      <c r="R140" s="107">
        <f>SUM($J135:R135)</f>
        <v>9</v>
      </c>
      <c r="S140" s="107">
        <f>SUM($J135:S135)</f>
        <v>10</v>
      </c>
      <c r="T140" s="107">
        <f>SUM($J135:T135)</f>
        <v>11</v>
      </c>
      <c r="U140" s="107">
        <f>SUM($J135:U135)</f>
        <v>12</v>
      </c>
      <c r="V140" s="107">
        <f>SUM($J135:V135)</f>
        <v>13</v>
      </c>
      <c r="W140" s="107">
        <f>SUM($J135:W135)</f>
        <v>14</v>
      </c>
      <c r="X140" s="107">
        <f>SUM($J135:X135)</f>
        <v>15</v>
      </c>
      <c r="Y140" s="107">
        <f>SUM($J135:Y135)</f>
        <v>16</v>
      </c>
      <c r="Z140" s="107">
        <f>SUM($J135:Z135)</f>
        <v>17</v>
      </c>
      <c r="AA140" s="107">
        <f>SUM($J135:AA135)</f>
        <v>18</v>
      </c>
      <c r="AB140" s="107">
        <f>SUM($J135:AB135)</f>
        <v>19</v>
      </c>
      <c r="AC140" s="107">
        <f>SUM($J135:AC135)</f>
        <v>20</v>
      </c>
      <c r="AD140" s="107">
        <f>SUM($J135:AD135)</f>
        <v>21</v>
      </c>
      <c r="AE140" s="107">
        <f>SUM($J135:AE135)</f>
        <v>22</v>
      </c>
      <c r="AF140" s="107">
        <f>SUM($J135:AF135)</f>
        <v>23</v>
      </c>
      <c r="AG140" s="107">
        <f>SUM($J135:AG135)</f>
        <v>24</v>
      </c>
      <c r="AH140" s="107">
        <f>SUM($J135:AH135)</f>
        <v>25</v>
      </c>
      <c r="AI140" s="107">
        <f>SUM($J135:AI135)</f>
        <v>26</v>
      </c>
      <c r="AJ140" s="107">
        <f>SUM($J135:AJ135)</f>
        <v>27</v>
      </c>
      <c r="AK140" s="107">
        <f>SUM($J135:AK135)</f>
        <v>28</v>
      </c>
      <c r="AL140" s="107">
        <f>SUM($J135:AL135)</f>
        <v>29</v>
      </c>
      <c r="AM140" s="107">
        <f>SUM($J135:AM135)</f>
        <v>30</v>
      </c>
      <c r="AN140" s="107"/>
      <c r="AO140" s="107"/>
      <c r="AP140" s="107"/>
      <c r="AQ140" s="107"/>
      <c r="AR140" s="107"/>
      <c r="AS140" s="107"/>
      <c r="AT140" s="107"/>
      <c r="AU140" s="107"/>
      <c r="AV140" s="107"/>
      <c r="AW140" s="107"/>
      <c r="AX140" s="107"/>
      <c r="AY140" s="107"/>
      <c r="AZ140" s="107"/>
      <c r="BA140" s="107"/>
      <c r="BB140" s="107"/>
      <c r="BC140" s="107"/>
      <c r="BD140" s="107"/>
      <c r="BE140" s="107"/>
      <c r="BF140" s="107"/>
      <c r="BG140" s="107"/>
      <c r="BH140" s="107"/>
    </row>
    <row r="141" spans="1:60" x14ac:dyDescent="0.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row>
    <row r="142" spans="1:60" x14ac:dyDescent="0.5">
      <c r="A142" s="25"/>
      <c r="B142" s="25"/>
      <c r="C142" s="25" t="s">
        <v>94</v>
      </c>
      <c r="D142" s="25" t="s">
        <v>1</v>
      </c>
      <c r="E142" s="25"/>
      <c r="G142" s="25"/>
      <c r="H142" s="105">
        <f>J142+NPV(discountrate,K142:AK142)</f>
        <v>0</v>
      </c>
      <c r="I142" s="25"/>
      <c r="J142" s="105">
        <f t="shared" ref="J142:AM142" si="74">INDEX(STPvolumes,MATCH($C142,volumesnames,0),MATCH(J$7,years,0))</f>
        <v>0</v>
      </c>
      <c r="K142" s="105">
        <f t="shared" si="74"/>
        <v>0</v>
      </c>
      <c r="L142" s="105">
        <f t="shared" si="74"/>
        <v>0</v>
      </c>
      <c r="M142" s="105">
        <f t="shared" si="74"/>
        <v>0</v>
      </c>
      <c r="N142" s="105">
        <f t="shared" si="74"/>
        <v>0</v>
      </c>
      <c r="O142" s="105">
        <f t="shared" si="74"/>
        <v>0</v>
      </c>
      <c r="P142" s="105">
        <f t="shared" si="74"/>
        <v>0</v>
      </c>
      <c r="Q142" s="105">
        <f t="shared" si="74"/>
        <v>0</v>
      </c>
      <c r="R142" s="105">
        <f t="shared" si="74"/>
        <v>0</v>
      </c>
      <c r="S142" s="105">
        <f t="shared" si="74"/>
        <v>0</v>
      </c>
      <c r="T142" s="105">
        <f t="shared" si="74"/>
        <v>0</v>
      </c>
      <c r="U142" s="105">
        <f t="shared" si="74"/>
        <v>0</v>
      </c>
      <c r="V142" s="105">
        <f t="shared" si="74"/>
        <v>0</v>
      </c>
      <c r="W142" s="105">
        <f t="shared" si="74"/>
        <v>0</v>
      </c>
      <c r="X142" s="105">
        <f t="shared" si="74"/>
        <v>0</v>
      </c>
      <c r="Y142" s="105">
        <f t="shared" si="74"/>
        <v>0</v>
      </c>
      <c r="Z142" s="105">
        <f t="shared" si="74"/>
        <v>0</v>
      </c>
      <c r="AA142" s="105">
        <f t="shared" si="74"/>
        <v>0</v>
      </c>
      <c r="AB142" s="105">
        <f t="shared" si="74"/>
        <v>0</v>
      </c>
      <c r="AC142" s="105">
        <f t="shared" si="74"/>
        <v>0</v>
      </c>
      <c r="AD142" s="105">
        <f t="shared" si="74"/>
        <v>0</v>
      </c>
      <c r="AE142" s="105">
        <f t="shared" si="74"/>
        <v>0</v>
      </c>
      <c r="AF142" s="105">
        <f t="shared" si="74"/>
        <v>0</v>
      </c>
      <c r="AG142" s="105">
        <f t="shared" si="74"/>
        <v>0</v>
      </c>
      <c r="AH142" s="105">
        <f t="shared" si="74"/>
        <v>0</v>
      </c>
      <c r="AI142" s="105">
        <f t="shared" si="74"/>
        <v>0</v>
      </c>
      <c r="AJ142" s="105">
        <f t="shared" si="74"/>
        <v>0</v>
      </c>
      <c r="AK142" s="105">
        <f t="shared" si="74"/>
        <v>0</v>
      </c>
      <c r="AL142" s="105">
        <f t="shared" si="74"/>
        <v>0</v>
      </c>
      <c r="AM142" s="105">
        <f t="shared" si="74"/>
        <v>0</v>
      </c>
      <c r="AN142" s="25"/>
      <c r="AO142" s="25"/>
      <c r="AP142" s="25"/>
      <c r="AQ142" s="25"/>
      <c r="AR142" s="25"/>
      <c r="AS142" s="25"/>
      <c r="AT142" s="25"/>
      <c r="AU142" s="25"/>
      <c r="AV142" s="25"/>
      <c r="AW142" s="25"/>
      <c r="AX142" s="25"/>
      <c r="AY142" s="25"/>
      <c r="AZ142" s="25"/>
    </row>
    <row r="143" spans="1:60" x14ac:dyDescent="0.5">
      <c r="A143" s="25"/>
      <c r="B143" s="25"/>
      <c r="C143" s="25" t="s">
        <v>147</v>
      </c>
      <c r="D143" s="25" t="s">
        <v>150</v>
      </c>
      <c r="E143" s="25"/>
      <c r="F143" s="106"/>
      <c r="G143" s="25"/>
      <c r="H143" s="25"/>
      <c r="I143" s="25"/>
      <c r="J143" s="105">
        <f>J152</f>
        <v>0</v>
      </c>
      <c r="K143" s="105">
        <f t="shared" ref="K143:AM143" si="75">K152</f>
        <v>0</v>
      </c>
      <c r="L143" s="105">
        <f t="shared" si="75"/>
        <v>0</v>
      </c>
      <c r="M143" s="105">
        <f t="shared" si="75"/>
        <v>0</v>
      </c>
      <c r="N143" s="105">
        <f t="shared" si="75"/>
        <v>0</v>
      </c>
      <c r="O143" s="105">
        <f t="shared" si="75"/>
        <v>0</v>
      </c>
      <c r="P143" s="105">
        <f t="shared" si="75"/>
        <v>0</v>
      </c>
      <c r="Q143" s="105">
        <f t="shared" si="75"/>
        <v>0</v>
      </c>
      <c r="R143" s="105">
        <f t="shared" si="75"/>
        <v>0</v>
      </c>
      <c r="S143" s="105">
        <f t="shared" si="75"/>
        <v>0</v>
      </c>
      <c r="T143" s="105">
        <f t="shared" si="75"/>
        <v>0</v>
      </c>
      <c r="U143" s="105">
        <f t="shared" si="75"/>
        <v>0</v>
      </c>
      <c r="V143" s="105">
        <f t="shared" si="75"/>
        <v>0</v>
      </c>
      <c r="W143" s="105">
        <f t="shared" si="75"/>
        <v>0</v>
      </c>
      <c r="X143" s="105">
        <f t="shared" si="75"/>
        <v>0</v>
      </c>
      <c r="Y143" s="105">
        <f t="shared" si="75"/>
        <v>0</v>
      </c>
      <c r="Z143" s="105">
        <f t="shared" si="75"/>
        <v>0</v>
      </c>
      <c r="AA143" s="105">
        <f t="shared" si="75"/>
        <v>0</v>
      </c>
      <c r="AB143" s="105">
        <f t="shared" si="75"/>
        <v>0</v>
      </c>
      <c r="AC143" s="105">
        <f t="shared" si="75"/>
        <v>0</v>
      </c>
      <c r="AD143" s="105">
        <f t="shared" si="75"/>
        <v>0</v>
      </c>
      <c r="AE143" s="105">
        <f t="shared" si="75"/>
        <v>0</v>
      </c>
      <c r="AF143" s="105">
        <f t="shared" si="75"/>
        <v>0</v>
      </c>
      <c r="AG143" s="105">
        <f t="shared" si="75"/>
        <v>0</v>
      </c>
      <c r="AH143" s="105">
        <f t="shared" si="75"/>
        <v>0</v>
      </c>
      <c r="AI143" s="105">
        <f t="shared" si="75"/>
        <v>0</v>
      </c>
      <c r="AJ143" s="105">
        <f t="shared" si="75"/>
        <v>0</v>
      </c>
      <c r="AK143" s="105">
        <f t="shared" si="75"/>
        <v>0</v>
      </c>
      <c r="AL143" s="105">
        <f t="shared" si="75"/>
        <v>0</v>
      </c>
      <c r="AM143" s="105">
        <f t="shared" si="75"/>
        <v>0</v>
      </c>
      <c r="AN143" s="25"/>
      <c r="AO143" s="25"/>
      <c r="AP143" s="25"/>
      <c r="AQ143" s="25"/>
      <c r="AR143" s="25"/>
      <c r="AS143" s="25"/>
      <c r="AT143" s="25"/>
      <c r="AU143" s="25"/>
      <c r="AV143" s="25"/>
      <c r="AW143" s="25"/>
      <c r="AX143" s="25"/>
      <c r="AY143" s="25"/>
      <c r="AZ143" s="25"/>
    </row>
    <row r="144" spans="1:60" x14ac:dyDescent="0.5">
      <c r="A144" s="25"/>
      <c r="B144" s="25"/>
      <c r="C144" s="25" t="s">
        <v>23</v>
      </c>
      <c r="D144" s="25" t="s">
        <v>131</v>
      </c>
      <c r="E144" s="25"/>
      <c r="F144" s="106" t="s">
        <v>129</v>
      </c>
      <c r="G144" s="25"/>
      <c r="H144" s="25"/>
      <c r="I144" s="25"/>
      <c r="J144" s="104" cm="1">
        <f t="array" ref="J144">IF(J139=0,0,INDEX(capex,MATCH($B121,assetnames,0),J139))</f>
        <v>0</v>
      </c>
      <c r="K144" s="104" cm="1">
        <f t="array" ref="K144">IF(K139=0,0,INDEX(capex,MATCH($B121,assetnames,0),K139))</f>
        <v>0</v>
      </c>
      <c r="L144" s="104" cm="1">
        <f t="array" ref="L144">IF(L139=0,0,INDEX(capex,MATCH($B121,assetnames,0),L139))</f>
        <v>0</v>
      </c>
      <c r="M144" s="104" cm="1">
        <f t="array" ref="M144">IF(M139=0,0,INDEX(capex,MATCH($B121,assetnames,0),M139))</f>
        <v>0</v>
      </c>
      <c r="N144" s="104" cm="1">
        <f t="array" ref="N144">IF(N139=0,0,INDEX(capex,MATCH($B121,assetnames,0),N139))</f>
        <v>0</v>
      </c>
      <c r="O144" s="104" cm="1">
        <f t="array" ref="O144">IF(O139=0,0,INDEX(capex,MATCH($B121,assetnames,0),O139))</f>
        <v>0</v>
      </c>
      <c r="P144" s="104" cm="1">
        <f t="array" ref="P144">IF(P139=0,0,INDEX(capex,MATCH($B121,assetnames,0),P139))</f>
        <v>0</v>
      </c>
      <c r="Q144" s="104" cm="1">
        <f t="array" ref="Q144">IF(Q139=0,0,INDEX(capex,MATCH($B121,assetnames,0),Q139))</f>
        <v>0</v>
      </c>
      <c r="R144" s="104" cm="1">
        <f t="array" ref="R144">IF(R139=0,0,INDEX(capex,MATCH($B121,assetnames,0),R139))</f>
        <v>0</v>
      </c>
      <c r="S144" s="104" cm="1">
        <f t="array" ref="S144">IF(S139=0,0,INDEX(capex,MATCH($B121,assetnames,0),S139))</f>
        <v>0</v>
      </c>
      <c r="T144" s="104" cm="1">
        <f t="array" ref="T144">IF(T139=0,0,INDEX(capex,MATCH($B121,assetnames,0),T139))</f>
        <v>0</v>
      </c>
      <c r="U144" s="104" cm="1">
        <f t="array" ref="U144">IF(U139=0,0,INDEX(capex,MATCH($B121,assetnames,0),U139))</f>
        <v>0</v>
      </c>
      <c r="V144" s="104" cm="1">
        <f t="array" ref="V144">IF(V139=0,0,INDEX(capex,MATCH($B121,assetnames,0),V139))</f>
        <v>0</v>
      </c>
      <c r="W144" s="104" cm="1">
        <f t="array" ref="W144">IF(W139=0,0,INDEX(capex,MATCH($B121,assetnames,0),W139))</f>
        <v>0</v>
      </c>
      <c r="X144" s="104" cm="1">
        <f t="array" ref="X144">IF(X139=0,0,INDEX(capex,MATCH($B121,assetnames,0),X139))</f>
        <v>0</v>
      </c>
      <c r="Y144" s="104" cm="1">
        <f t="array" ref="Y144">IF(Y139=0,0,INDEX(capex,MATCH($B121,assetnames,0),Y139))</f>
        <v>0</v>
      </c>
      <c r="Z144" s="104" cm="1">
        <f t="array" ref="Z144">IF(Z139=0,0,INDEX(capex,MATCH($B121,assetnames,0),Z139))</f>
        <v>0</v>
      </c>
      <c r="AA144" s="104" cm="1">
        <f t="array" ref="AA144">IF(AA139=0,0,INDEX(capex,MATCH($B121,assetnames,0),AA139))</f>
        <v>0</v>
      </c>
      <c r="AB144" s="104" cm="1">
        <f t="array" ref="AB144">IF(AB139=0,0,INDEX(capex,MATCH($B121,assetnames,0),AB139))</f>
        <v>0</v>
      </c>
      <c r="AC144" s="104" cm="1">
        <f t="array" ref="AC144">IF(AC139=0,0,INDEX(capex,MATCH($B121,assetnames,0),AC139))</f>
        <v>0</v>
      </c>
      <c r="AD144" s="104" cm="1">
        <f t="array" ref="AD144">IF(AD139=0,0,INDEX(capex,MATCH($B121,assetnames,0),AD139))</f>
        <v>0</v>
      </c>
      <c r="AE144" s="104" cm="1">
        <f t="array" ref="AE144">IF(AE139=0,0,INDEX(capex,MATCH($B121,assetnames,0),AE139))</f>
        <v>0</v>
      </c>
      <c r="AF144" s="104" cm="1">
        <f t="array" ref="AF144">IF(AF139=0,0,INDEX(capex,MATCH($B121,assetnames,0),AF139))</f>
        <v>0</v>
      </c>
      <c r="AG144" s="104" cm="1">
        <f t="array" ref="AG144">IF(AG139=0,0,INDEX(capex,MATCH($B121,assetnames,0),AG139))</f>
        <v>0</v>
      </c>
      <c r="AH144" s="104" cm="1">
        <f t="array" ref="AH144">IF(AH139=0,0,INDEX(capex,MATCH($B121,assetnames,0),AH139))</f>
        <v>0</v>
      </c>
      <c r="AI144" s="104" cm="1">
        <f t="array" ref="AI144">IF(AI139=0,0,INDEX(capex,MATCH($B121,assetnames,0),AI139))</f>
        <v>0</v>
      </c>
      <c r="AJ144" s="104" cm="1">
        <f t="array" ref="AJ144">IF(AJ139=0,0,INDEX(capex,MATCH($B121,assetnames,0),AJ139))</f>
        <v>0</v>
      </c>
      <c r="AK144" s="104" cm="1">
        <f t="array" ref="AK144">IF(AK139=0,0,INDEX(capex,MATCH($B121,assetnames,0),AK139))</f>
        <v>0</v>
      </c>
      <c r="AL144" s="104" cm="1">
        <f t="array" ref="AL144">IF(AL139=0,0,INDEX(capex,MATCH($B121,assetnames,0),AL139))</f>
        <v>0</v>
      </c>
      <c r="AM144" s="104" cm="1">
        <f t="array" ref="AM144">IF(AM139=0,0,INDEX(capex,MATCH($B121,assetnames,0),AM139))</f>
        <v>0</v>
      </c>
      <c r="AN144" s="25"/>
      <c r="AO144" s="25"/>
      <c r="AP144" s="25"/>
      <c r="AQ144" s="25"/>
      <c r="AR144" s="25"/>
      <c r="AS144" s="25"/>
      <c r="AT144" s="25"/>
      <c r="AU144" s="25"/>
      <c r="AV144" s="25"/>
      <c r="AW144" s="25"/>
      <c r="AX144" s="25"/>
      <c r="AY144" s="25"/>
      <c r="AZ144" s="25"/>
    </row>
    <row r="145" spans="1:60" x14ac:dyDescent="0.5">
      <c r="A145" s="25"/>
      <c r="B145" s="25"/>
      <c r="C145" s="25" t="s">
        <v>24</v>
      </c>
      <c r="D145" s="25" t="s">
        <v>131</v>
      </c>
      <c r="E145" s="25"/>
      <c r="F145" s="121" t="str">
        <f>IF(H146=0,"",INDEX($J$7:$AM$7,1,MATCH(1,$J138:$AM138,0)))</f>
        <v/>
      </c>
      <c r="G145" s="25"/>
      <c r="H145" s="25"/>
      <c r="I145" s="25"/>
      <c r="J145" s="104">
        <f t="shared" ref="J145:AM145" si="76">IF(J135=1,INDEX(opex,MATCH($B121,assetnames,0),J140),0)</f>
        <v>0</v>
      </c>
      <c r="K145" s="104">
        <f t="shared" si="76"/>
        <v>0</v>
      </c>
      <c r="L145" s="104">
        <f t="shared" si="76"/>
        <v>0</v>
      </c>
      <c r="M145" s="104">
        <f t="shared" si="76"/>
        <v>0</v>
      </c>
      <c r="N145" s="104">
        <f t="shared" si="76"/>
        <v>0</v>
      </c>
      <c r="O145" s="104">
        <f t="shared" si="76"/>
        <v>0</v>
      </c>
      <c r="P145" s="104">
        <f t="shared" si="76"/>
        <v>0</v>
      </c>
      <c r="Q145" s="104">
        <f t="shared" si="76"/>
        <v>0</v>
      </c>
      <c r="R145" s="104">
        <f t="shared" si="76"/>
        <v>0</v>
      </c>
      <c r="S145" s="104">
        <f t="shared" si="76"/>
        <v>0</v>
      </c>
      <c r="T145" s="104">
        <f t="shared" si="76"/>
        <v>0</v>
      </c>
      <c r="U145" s="104">
        <f t="shared" si="76"/>
        <v>0</v>
      </c>
      <c r="V145" s="104">
        <f t="shared" si="76"/>
        <v>0</v>
      </c>
      <c r="W145" s="104">
        <f t="shared" si="76"/>
        <v>0</v>
      </c>
      <c r="X145" s="104">
        <f t="shared" si="76"/>
        <v>0</v>
      </c>
      <c r="Y145" s="104">
        <f t="shared" si="76"/>
        <v>0</v>
      </c>
      <c r="Z145" s="104">
        <f t="shared" si="76"/>
        <v>0</v>
      </c>
      <c r="AA145" s="104">
        <f t="shared" si="76"/>
        <v>0</v>
      </c>
      <c r="AB145" s="104">
        <f t="shared" si="76"/>
        <v>0</v>
      </c>
      <c r="AC145" s="104">
        <f t="shared" si="76"/>
        <v>0</v>
      </c>
      <c r="AD145" s="104">
        <f t="shared" si="76"/>
        <v>0</v>
      </c>
      <c r="AE145" s="104">
        <f t="shared" si="76"/>
        <v>0</v>
      </c>
      <c r="AF145" s="104">
        <f t="shared" si="76"/>
        <v>0</v>
      </c>
      <c r="AG145" s="104">
        <f t="shared" si="76"/>
        <v>0</v>
      </c>
      <c r="AH145" s="104">
        <f t="shared" si="76"/>
        <v>0</v>
      </c>
      <c r="AI145" s="104">
        <f t="shared" si="76"/>
        <v>0</v>
      </c>
      <c r="AJ145" s="104">
        <f t="shared" si="76"/>
        <v>0</v>
      </c>
      <c r="AK145" s="104">
        <f t="shared" si="76"/>
        <v>0</v>
      </c>
      <c r="AL145" s="104">
        <f t="shared" si="76"/>
        <v>0</v>
      </c>
      <c r="AM145" s="104">
        <f t="shared" si="76"/>
        <v>0</v>
      </c>
      <c r="AN145" s="25"/>
      <c r="AO145" s="25"/>
      <c r="AP145" s="25"/>
      <c r="AQ145" s="25"/>
      <c r="AR145" s="25"/>
      <c r="AS145" s="25"/>
      <c r="AT145" s="25"/>
      <c r="AU145" s="25"/>
      <c r="AV145" s="25"/>
      <c r="AW145" s="25"/>
      <c r="AX145" s="25"/>
      <c r="AY145" s="25"/>
      <c r="AZ145" s="25"/>
    </row>
    <row r="146" spans="1:60" s="101" customFormat="1" x14ac:dyDescent="0.5">
      <c r="A146" s="26"/>
      <c r="B146" s="26"/>
      <c r="C146" s="26" t="s">
        <v>25</v>
      </c>
      <c r="D146" s="26" t="s">
        <v>131</v>
      </c>
      <c r="E146" s="26"/>
      <c r="F146" s="26"/>
      <c r="G146" s="26"/>
      <c r="H146" s="105">
        <f>J146+NPV(discountrate,K146:AK146)</f>
        <v>0</v>
      </c>
      <c r="I146" s="26"/>
      <c r="J146" s="105">
        <f>SUM(J143:J145)</f>
        <v>0</v>
      </c>
      <c r="K146" s="105">
        <f t="shared" ref="K146:AM146" si="77">SUM(K143:K145)</f>
        <v>0</v>
      </c>
      <c r="L146" s="105">
        <f t="shared" si="77"/>
        <v>0</v>
      </c>
      <c r="M146" s="105">
        <f t="shared" si="77"/>
        <v>0</v>
      </c>
      <c r="N146" s="105">
        <f t="shared" si="77"/>
        <v>0</v>
      </c>
      <c r="O146" s="105">
        <f t="shared" si="77"/>
        <v>0</v>
      </c>
      <c r="P146" s="105">
        <f t="shared" si="77"/>
        <v>0</v>
      </c>
      <c r="Q146" s="105">
        <f t="shared" si="77"/>
        <v>0</v>
      </c>
      <c r="R146" s="105">
        <f t="shared" si="77"/>
        <v>0</v>
      </c>
      <c r="S146" s="105">
        <f t="shared" si="77"/>
        <v>0</v>
      </c>
      <c r="T146" s="105">
        <f t="shared" si="77"/>
        <v>0</v>
      </c>
      <c r="U146" s="105">
        <f t="shared" si="77"/>
        <v>0</v>
      </c>
      <c r="V146" s="105">
        <f t="shared" si="77"/>
        <v>0</v>
      </c>
      <c r="W146" s="105">
        <f t="shared" si="77"/>
        <v>0</v>
      </c>
      <c r="X146" s="105">
        <f t="shared" si="77"/>
        <v>0</v>
      </c>
      <c r="Y146" s="105">
        <f t="shared" si="77"/>
        <v>0</v>
      </c>
      <c r="Z146" s="105">
        <f t="shared" si="77"/>
        <v>0</v>
      </c>
      <c r="AA146" s="105">
        <f t="shared" si="77"/>
        <v>0</v>
      </c>
      <c r="AB146" s="105">
        <f t="shared" si="77"/>
        <v>0</v>
      </c>
      <c r="AC146" s="105">
        <f t="shared" si="77"/>
        <v>0</v>
      </c>
      <c r="AD146" s="105">
        <f t="shared" si="77"/>
        <v>0</v>
      </c>
      <c r="AE146" s="105">
        <f t="shared" si="77"/>
        <v>0</v>
      </c>
      <c r="AF146" s="105">
        <f t="shared" si="77"/>
        <v>0</v>
      </c>
      <c r="AG146" s="105">
        <f t="shared" si="77"/>
        <v>0</v>
      </c>
      <c r="AH146" s="105">
        <f t="shared" si="77"/>
        <v>0</v>
      </c>
      <c r="AI146" s="105">
        <f t="shared" si="77"/>
        <v>0</v>
      </c>
      <c r="AJ146" s="105">
        <f t="shared" si="77"/>
        <v>0</v>
      </c>
      <c r="AK146" s="105">
        <f t="shared" si="77"/>
        <v>0</v>
      </c>
      <c r="AL146" s="105">
        <f t="shared" si="77"/>
        <v>0</v>
      </c>
      <c r="AM146" s="105">
        <f t="shared" si="77"/>
        <v>0</v>
      </c>
      <c r="AN146" s="26"/>
      <c r="AO146" s="26"/>
      <c r="AP146" s="26"/>
      <c r="AQ146" s="26"/>
      <c r="AR146" s="26"/>
      <c r="AS146" s="26"/>
      <c r="AT146" s="26"/>
      <c r="AU146" s="26"/>
      <c r="AV146" s="26"/>
      <c r="AW146" s="26"/>
      <c r="AX146" s="26"/>
      <c r="AY146" s="26"/>
      <c r="AZ146" s="26"/>
    </row>
    <row r="147" spans="1:60" s="101" customFormat="1" x14ac:dyDescent="0.5">
      <c r="A147" s="26"/>
      <c r="B147" s="26"/>
      <c r="C147" s="26"/>
      <c r="D147" s="26"/>
      <c r="E147" s="26"/>
      <c r="F147" s="26"/>
      <c r="G147" s="26"/>
      <c r="H147" s="158"/>
      <c r="I147" s="26"/>
      <c r="J147" s="159"/>
      <c r="K147" s="159"/>
      <c r="L147" s="159"/>
      <c r="M147" s="159"/>
      <c r="N147" s="159"/>
      <c r="O147" s="159"/>
      <c r="P147" s="159"/>
      <c r="Q147" s="159"/>
      <c r="R147" s="159"/>
      <c r="S147" s="159"/>
      <c r="T147" s="159"/>
      <c r="U147" s="159"/>
      <c r="V147" s="159"/>
      <c r="W147" s="159"/>
      <c r="X147" s="159"/>
      <c r="Y147" s="159"/>
      <c r="Z147" s="159"/>
      <c r="AA147" s="159"/>
      <c r="AB147" s="159"/>
      <c r="AC147" s="159"/>
      <c r="AD147" s="159"/>
      <c r="AE147" s="159"/>
      <c r="AF147" s="159"/>
      <c r="AG147" s="159"/>
      <c r="AH147" s="159"/>
      <c r="AI147" s="159"/>
      <c r="AJ147" s="159"/>
      <c r="AK147" s="159"/>
      <c r="AL147" s="159"/>
      <c r="AM147" s="159"/>
      <c r="AN147" s="26"/>
      <c r="AO147" s="26"/>
      <c r="AP147" s="26"/>
      <c r="AQ147" s="26"/>
      <c r="AR147" s="26"/>
      <c r="AS147" s="26"/>
      <c r="AT147" s="26"/>
      <c r="AU147" s="26"/>
      <c r="AV147" s="26"/>
      <c r="AW147" s="26"/>
      <c r="AX147" s="26"/>
      <c r="AY147" s="26"/>
      <c r="AZ147" s="26"/>
    </row>
    <row r="148" spans="1:60" s="101" customFormat="1" x14ac:dyDescent="0.5">
      <c r="A148" s="26"/>
      <c r="B148" s="26"/>
      <c r="C148" s="26" t="s">
        <v>147</v>
      </c>
      <c r="D148" s="26"/>
      <c r="E148" s="26"/>
      <c r="F148" s="26"/>
      <c r="G148" s="26"/>
      <c r="H148" s="157"/>
      <c r="I148" s="26"/>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E148" s="157"/>
      <c r="AF148" s="157"/>
      <c r="AG148" s="157"/>
      <c r="AH148" s="157"/>
      <c r="AI148" s="157"/>
      <c r="AJ148" s="157"/>
      <c r="AK148" s="157"/>
      <c r="AL148" s="157"/>
      <c r="AM148" s="157"/>
      <c r="AN148" s="26"/>
      <c r="AO148" s="26"/>
      <c r="AP148" s="26"/>
      <c r="AQ148" s="26"/>
      <c r="AR148" s="26"/>
      <c r="AS148" s="26"/>
      <c r="AT148" s="26"/>
      <c r="AU148" s="26"/>
      <c r="AV148" s="26"/>
      <c r="AW148" s="26"/>
      <c r="AX148" s="26"/>
      <c r="AY148" s="26"/>
      <c r="AZ148" s="26"/>
    </row>
    <row r="149" spans="1:60" s="101" customFormat="1" x14ac:dyDescent="0.5">
      <c r="A149" s="26"/>
      <c r="B149" s="26"/>
      <c r="C149" s="26"/>
      <c r="D149" s="26"/>
      <c r="E149" s="26"/>
      <c r="F149" s="26"/>
      <c r="G149" s="26"/>
      <c r="H149" s="157"/>
      <c r="I149" s="26"/>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E149" s="157"/>
      <c r="AF149" s="157"/>
      <c r="AG149" s="157"/>
      <c r="AH149" s="157"/>
      <c r="AI149" s="157"/>
      <c r="AJ149" s="157"/>
      <c r="AK149" s="157"/>
      <c r="AL149" s="157"/>
      <c r="AM149" s="157"/>
      <c r="AN149" s="26"/>
      <c r="AO149" s="26"/>
      <c r="AP149" s="26"/>
      <c r="AQ149" s="26"/>
      <c r="AR149" s="26"/>
      <c r="AS149" s="26"/>
      <c r="AT149" s="26"/>
      <c r="AU149" s="26"/>
      <c r="AV149" s="26"/>
      <c r="AW149" s="26"/>
      <c r="AX149" s="26"/>
      <c r="AY149" s="26"/>
      <c r="AZ149" s="26"/>
    </row>
    <row r="150" spans="1:60" s="101" customFormat="1" x14ac:dyDescent="0.5">
      <c r="A150" s="26"/>
      <c r="B150" s="26"/>
      <c r="C150" s="25" t="s">
        <v>94</v>
      </c>
      <c r="D150" s="25" t="s">
        <v>35</v>
      </c>
      <c r="E150" s="26"/>
      <c r="F150" s="26"/>
      <c r="G150" s="26"/>
      <c r="H150" s="157"/>
      <c r="I150" s="26"/>
      <c r="J150" s="105">
        <f t="shared" ref="J150:AM150" si="78">INDEX(STPvolumes,MATCH($C150,volumesnames,0),MATCH(J$7,years,0))</f>
        <v>0</v>
      </c>
      <c r="K150" s="105">
        <f t="shared" si="78"/>
        <v>0</v>
      </c>
      <c r="L150" s="105">
        <f t="shared" si="78"/>
        <v>0</v>
      </c>
      <c r="M150" s="105">
        <f t="shared" si="78"/>
        <v>0</v>
      </c>
      <c r="N150" s="105">
        <f t="shared" si="78"/>
        <v>0</v>
      </c>
      <c r="O150" s="105">
        <f t="shared" si="78"/>
        <v>0</v>
      </c>
      <c r="P150" s="105">
        <f t="shared" si="78"/>
        <v>0</v>
      </c>
      <c r="Q150" s="105">
        <f t="shared" si="78"/>
        <v>0</v>
      </c>
      <c r="R150" s="105">
        <f t="shared" si="78"/>
        <v>0</v>
      </c>
      <c r="S150" s="105">
        <f t="shared" si="78"/>
        <v>0</v>
      </c>
      <c r="T150" s="105">
        <f t="shared" si="78"/>
        <v>0</v>
      </c>
      <c r="U150" s="105">
        <f t="shared" si="78"/>
        <v>0</v>
      </c>
      <c r="V150" s="105">
        <f t="shared" si="78"/>
        <v>0</v>
      </c>
      <c r="W150" s="105">
        <f t="shared" si="78"/>
        <v>0</v>
      </c>
      <c r="X150" s="105">
        <f t="shared" si="78"/>
        <v>0</v>
      </c>
      <c r="Y150" s="105">
        <f t="shared" si="78"/>
        <v>0</v>
      </c>
      <c r="Z150" s="105">
        <f t="shared" si="78"/>
        <v>0</v>
      </c>
      <c r="AA150" s="105">
        <f t="shared" si="78"/>
        <v>0</v>
      </c>
      <c r="AB150" s="105">
        <f t="shared" si="78"/>
        <v>0</v>
      </c>
      <c r="AC150" s="105">
        <f t="shared" si="78"/>
        <v>0</v>
      </c>
      <c r="AD150" s="105">
        <f t="shared" si="78"/>
        <v>0</v>
      </c>
      <c r="AE150" s="105">
        <f t="shared" si="78"/>
        <v>0</v>
      </c>
      <c r="AF150" s="105">
        <f t="shared" si="78"/>
        <v>0</v>
      </c>
      <c r="AG150" s="105">
        <f t="shared" si="78"/>
        <v>0</v>
      </c>
      <c r="AH150" s="105">
        <f t="shared" si="78"/>
        <v>0</v>
      </c>
      <c r="AI150" s="105">
        <f t="shared" si="78"/>
        <v>0</v>
      </c>
      <c r="AJ150" s="105">
        <f t="shared" si="78"/>
        <v>0</v>
      </c>
      <c r="AK150" s="105">
        <f t="shared" si="78"/>
        <v>0</v>
      </c>
      <c r="AL150" s="105">
        <f t="shared" si="78"/>
        <v>0</v>
      </c>
      <c r="AM150" s="105">
        <f t="shared" si="78"/>
        <v>0</v>
      </c>
      <c r="AN150" s="26"/>
      <c r="AO150" s="26"/>
      <c r="AP150" s="26"/>
      <c r="AQ150" s="26"/>
      <c r="AR150" s="26"/>
      <c r="AS150" s="26"/>
      <c r="AT150" s="26"/>
      <c r="AU150" s="26"/>
      <c r="AV150" s="26"/>
      <c r="AW150" s="26"/>
      <c r="AX150" s="26"/>
      <c r="AY150" s="26"/>
      <c r="AZ150" s="26"/>
    </row>
    <row r="151" spans="1:60" s="101" customFormat="1" x14ac:dyDescent="0.5">
      <c r="A151" s="26"/>
      <c r="B151" s="26"/>
      <c r="C151" s="25" t="s">
        <v>148</v>
      </c>
      <c r="D151" s="25" t="s">
        <v>150</v>
      </c>
      <c r="E151" s="26"/>
      <c r="F151" s="26"/>
      <c r="G151" s="26"/>
      <c r="H151" s="157"/>
      <c r="I151" s="26"/>
      <c r="J151" s="105">
        <f t="shared" ref="J151:AM151" si="79">INDEX(STPexistingcost,MATCH(J$7,years,0))</f>
        <v>0</v>
      </c>
      <c r="K151" s="105">
        <f t="shared" si="79"/>
        <v>0</v>
      </c>
      <c r="L151" s="105">
        <f t="shared" si="79"/>
        <v>0</v>
      </c>
      <c r="M151" s="105">
        <f t="shared" si="79"/>
        <v>0</v>
      </c>
      <c r="N151" s="105">
        <f t="shared" si="79"/>
        <v>0</v>
      </c>
      <c r="O151" s="105">
        <f t="shared" si="79"/>
        <v>0</v>
      </c>
      <c r="P151" s="105">
        <f t="shared" si="79"/>
        <v>0</v>
      </c>
      <c r="Q151" s="105">
        <f t="shared" si="79"/>
        <v>0</v>
      </c>
      <c r="R151" s="105">
        <f t="shared" si="79"/>
        <v>0</v>
      </c>
      <c r="S151" s="105">
        <f t="shared" si="79"/>
        <v>0</v>
      </c>
      <c r="T151" s="105">
        <f t="shared" si="79"/>
        <v>0</v>
      </c>
      <c r="U151" s="105">
        <f t="shared" si="79"/>
        <v>0</v>
      </c>
      <c r="V151" s="105">
        <f t="shared" si="79"/>
        <v>0</v>
      </c>
      <c r="W151" s="105">
        <f t="shared" si="79"/>
        <v>0</v>
      </c>
      <c r="X151" s="105">
        <f t="shared" si="79"/>
        <v>0</v>
      </c>
      <c r="Y151" s="105">
        <f t="shared" si="79"/>
        <v>0</v>
      </c>
      <c r="Z151" s="105">
        <f t="shared" si="79"/>
        <v>0</v>
      </c>
      <c r="AA151" s="105">
        <f t="shared" si="79"/>
        <v>0</v>
      </c>
      <c r="AB151" s="105">
        <f t="shared" si="79"/>
        <v>0</v>
      </c>
      <c r="AC151" s="105">
        <f t="shared" si="79"/>
        <v>0</v>
      </c>
      <c r="AD151" s="105">
        <f t="shared" si="79"/>
        <v>0</v>
      </c>
      <c r="AE151" s="105">
        <f t="shared" si="79"/>
        <v>0</v>
      </c>
      <c r="AF151" s="105">
        <f t="shared" si="79"/>
        <v>0</v>
      </c>
      <c r="AG151" s="105">
        <f t="shared" si="79"/>
        <v>0</v>
      </c>
      <c r="AH151" s="105">
        <f t="shared" si="79"/>
        <v>0</v>
      </c>
      <c r="AI151" s="105">
        <f t="shared" si="79"/>
        <v>0</v>
      </c>
      <c r="AJ151" s="105">
        <f t="shared" si="79"/>
        <v>0</v>
      </c>
      <c r="AK151" s="105">
        <f t="shared" si="79"/>
        <v>0</v>
      </c>
      <c r="AL151" s="105">
        <f t="shared" si="79"/>
        <v>0</v>
      </c>
      <c r="AM151" s="105">
        <f t="shared" si="79"/>
        <v>0</v>
      </c>
      <c r="AN151" s="26"/>
      <c r="AO151" s="26"/>
      <c r="AP151" s="26"/>
      <c r="AQ151" s="26"/>
      <c r="AR151" s="26"/>
      <c r="AS151" s="26"/>
      <c r="AT151" s="26"/>
      <c r="AU151" s="26"/>
      <c r="AV151" s="26"/>
      <c r="AW151" s="26"/>
      <c r="AX151" s="26"/>
      <c r="AY151" s="26"/>
      <c r="AZ151" s="26"/>
    </row>
    <row r="152" spans="1:60" s="101" customFormat="1" x14ac:dyDescent="0.5">
      <c r="A152" s="26"/>
      <c r="B152" s="26"/>
      <c r="C152" s="26" t="s">
        <v>149</v>
      </c>
      <c r="D152" s="26" t="s">
        <v>150</v>
      </c>
      <c r="E152" s="26"/>
      <c r="F152" s="26"/>
      <c r="G152" s="26"/>
      <c r="H152" s="105">
        <f>J152+NPV(discountrate,K152:AM152)</f>
        <v>0</v>
      </c>
      <c r="I152" s="26"/>
      <c r="J152" s="105">
        <f>J150*J151</f>
        <v>0</v>
      </c>
      <c r="K152" s="105">
        <f t="shared" ref="K152:AM152" si="80">K150*K151</f>
        <v>0</v>
      </c>
      <c r="L152" s="105">
        <f t="shared" si="80"/>
        <v>0</v>
      </c>
      <c r="M152" s="105">
        <f t="shared" si="80"/>
        <v>0</v>
      </c>
      <c r="N152" s="105">
        <f t="shared" si="80"/>
        <v>0</v>
      </c>
      <c r="O152" s="105">
        <f t="shared" si="80"/>
        <v>0</v>
      </c>
      <c r="P152" s="105">
        <f t="shared" si="80"/>
        <v>0</v>
      </c>
      <c r="Q152" s="105">
        <f t="shared" si="80"/>
        <v>0</v>
      </c>
      <c r="R152" s="105">
        <f t="shared" si="80"/>
        <v>0</v>
      </c>
      <c r="S152" s="105">
        <f t="shared" si="80"/>
        <v>0</v>
      </c>
      <c r="T152" s="105">
        <f t="shared" si="80"/>
        <v>0</v>
      </c>
      <c r="U152" s="105">
        <f t="shared" si="80"/>
        <v>0</v>
      </c>
      <c r="V152" s="105">
        <f t="shared" si="80"/>
        <v>0</v>
      </c>
      <c r="W152" s="105">
        <f t="shared" si="80"/>
        <v>0</v>
      </c>
      <c r="X152" s="105">
        <f t="shared" si="80"/>
        <v>0</v>
      </c>
      <c r="Y152" s="105">
        <f t="shared" si="80"/>
        <v>0</v>
      </c>
      <c r="Z152" s="105">
        <f t="shared" si="80"/>
        <v>0</v>
      </c>
      <c r="AA152" s="105">
        <f t="shared" si="80"/>
        <v>0</v>
      </c>
      <c r="AB152" s="105">
        <f t="shared" si="80"/>
        <v>0</v>
      </c>
      <c r="AC152" s="105">
        <f t="shared" si="80"/>
        <v>0</v>
      </c>
      <c r="AD152" s="105">
        <f t="shared" si="80"/>
        <v>0</v>
      </c>
      <c r="AE152" s="105">
        <f t="shared" si="80"/>
        <v>0</v>
      </c>
      <c r="AF152" s="105">
        <f t="shared" si="80"/>
        <v>0</v>
      </c>
      <c r="AG152" s="105">
        <f t="shared" si="80"/>
        <v>0</v>
      </c>
      <c r="AH152" s="105">
        <f t="shared" si="80"/>
        <v>0</v>
      </c>
      <c r="AI152" s="105">
        <f t="shared" si="80"/>
        <v>0</v>
      </c>
      <c r="AJ152" s="105">
        <f t="shared" si="80"/>
        <v>0</v>
      </c>
      <c r="AK152" s="105">
        <f t="shared" si="80"/>
        <v>0</v>
      </c>
      <c r="AL152" s="105">
        <f t="shared" si="80"/>
        <v>0</v>
      </c>
      <c r="AM152" s="105">
        <f t="shared" si="80"/>
        <v>0</v>
      </c>
      <c r="AN152" s="26"/>
      <c r="AO152" s="26"/>
      <c r="AP152" s="26"/>
      <c r="AQ152" s="26"/>
      <c r="AR152" s="26"/>
      <c r="AS152" s="26"/>
      <c r="AT152" s="26"/>
      <c r="AU152" s="26"/>
      <c r="AV152" s="26"/>
      <c r="AW152" s="26"/>
      <c r="AX152" s="26"/>
      <c r="AY152" s="26"/>
      <c r="AZ152" s="26"/>
    </row>
    <row r="153" spans="1:60" x14ac:dyDescent="0.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row>
    <row r="154" spans="1:60" ht="19.5" x14ac:dyDescent="0.55000000000000004">
      <c r="A154" s="25"/>
      <c r="C154" s="97" t="s">
        <v>95</v>
      </c>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row>
    <row r="155" spans="1:60" x14ac:dyDescent="0.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row>
    <row r="156" spans="1:60" x14ac:dyDescent="0.5">
      <c r="A156" s="25"/>
      <c r="B156" s="25"/>
      <c r="C156" s="98" t="s">
        <v>21</v>
      </c>
      <c r="D156" s="99"/>
      <c r="E156" s="99"/>
      <c r="F156" s="25"/>
      <c r="G156" s="25"/>
      <c r="H156" s="99"/>
      <c r="I156" s="25"/>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25"/>
      <c r="AG156" s="25"/>
      <c r="AH156" s="25"/>
      <c r="AI156" s="25"/>
      <c r="AJ156" s="25"/>
      <c r="AK156" s="25"/>
      <c r="AL156" s="25"/>
      <c r="AM156" s="25"/>
      <c r="AN156" s="25"/>
      <c r="AO156" s="25"/>
      <c r="AP156" s="25"/>
      <c r="AQ156" s="25"/>
      <c r="AR156" s="25"/>
      <c r="AS156" s="25"/>
      <c r="AT156" s="25"/>
      <c r="AU156" s="25"/>
      <c r="AV156" s="25"/>
      <c r="AW156" s="25"/>
      <c r="AX156" s="25"/>
      <c r="AY156" s="25"/>
      <c r="AZ156" s="25"/>
    </row>
    <row r="157" spans="1:60" x14ac:dyDescent="0.5">
      <c r="A157" s="25"/>
      <c r="B157" s="25"/>
      <c r="C157" s="98" t="s">
        <v>18</v>
      </c>
      <c r="D157" s="98"/>
      <c r="E157" s="98"/>
      <c r="F157" s="25"/>
      <c r="G157" s="25"/>
      <c r="H157" s="99"/>
      <c r="I157" s="25"/>
      <c r="J157" s="107">
        <f t="shared" ref="J157:AM157" si="81">IF(J164&lt;INDEX(tippingpoints,MATCH($B121,tippingpointnames,0),1),0,1)</f>
        <v>1</v>
      </c>
      <c r="K157" s="107">
        <f t="shared" si="81"/>
        <v>1</v>
      </c>
      <c r="L157" s="107">
        <f t="shared" si="81"/>
        <v>1</v>
      </c>
      <c r="M157" s="107">
        <f t="shared" si="81"/>
        <v>1</v>
      </c>
      <c r="N157" s="107">
        <f t="shared" si="81"/>
        <v>1</v>
      </c>
      <c r="O157" s="107">
        <f t="shared" si="81"/>
        <v>1</v>
      </c>
      <c r="P157" s="107">
        <f t="shared" si="81"/>
        <v>1</v>
      </c>
      <c r="Q157" s="107">
        <f t="shared" si="81"/>
        <v>1</v>
      </c>
      <c r="R157" s="107">
        <f t="shared" si="81"/>
        <v>1</v>
      </c>
      <c r="S157" s="107">
        <f t="shared" si="81"/>
        <v>1</v>
      </c>
      <c r="T157" s="107">
        <f t="shared" si="81"/>
        <v>1</v>
      </c>
      <c r="U157" s="107">
        <f t="shared" si="81"/>
        <v>1</v>
      </c>
      <c r="V157" s="107">
        <f t="shared" si="81"/>
        <v>1</v>
      </c>
      <c r="W157" s="107">
        <f t="shared" si="81"/>
        <v>1</v>
      </c>
      <c r="X157" s="107">
        <f t="shared" si="81"/>
        <v>1</v>
      </c>
      <c r="Y157" s="107">
        <f t="shared" si="81"/>
        <v>1</v>
      </c>
      <c r="Z157" s="107">
        <f t="shared" si="81"/>
        <v>1</v>
      </c>
      <c r="AA157" s="107">
        <f t="shared" si="81"/>
        <v>1</v>
      </c>
      <c r="AB157" s="107">
        <f t="shared" si="81"/>
        <v>1</v>
      </c>
      <c r="AC157" s="107">
        <f t="shared" si="81"/>
        <v>1</v>
      </c>
      <c r="AD157" s="107">
        <f t="shared" si="81"/>
        <v>1</v>
      </c>
      <c r="AE157" s="107">
        <f t="shared" si="81"/>
        <v>1</v>
      </c>
      <c r="AF157" s="107">
        <f t="shared" si="81"/>
        <v>1</v>
      </c>
      <c r="AG157" s="107">
        <f t="shared" si="81"/>
        <v>1</v>
      </c>
      <c r="AH157" s="107">
        <f t="shared" si="81"/>
        <v>1</v>
      </c>
      <c r="AI157" s="107">
        <f t="shared" si="81"/>
        <v>1</v>
      </c>
      <c r="AJ157" s="107">
        <f t="shared" si="81"/>
        <v>1</v>
      </c>
      <c r="AK157" s="107">
        <f t="shared" si="81"/>
        <v>1</v>
      </c>
      <c r="AL157" s="107">
        <f t="shared" si="81"/>
        <v>1</v>
      </c>
      <c r="AM157" s="107">
        <f t="shared" si="81"/>
        <v>1</v>
      </c>
      <c r="AN157" s="25"/>
      <c r="AO157" s="25"/>
      <c r="AP157" s="25"/>
      <c r="AQ157" s="25"/>
      <c r="AR157" s="25"/>
      <c r="AS157" s="25"/>
      <c r="AT157" s="25"/>
      <c r="AU157" s="25"/>
      <c r="AV157" s="25"/>
      <c r="AW157" s="25"/>
      <c r="AX157" s="25"/>
      <c r="AY157" s="25"/>
      <c r="AZ157" s="25"/>
    </row>
    <row r="158" spans="1:60" x14ac:dyDescent="0.5">
      <c r="A158" s="25"/>
      <c r="B158" s="25"/>
      <c r="C158" s="98" t="s">
        <v>19</v>
      </c>
      <c r="D158" s="98"/>
      <c r="E158" s="98"/>
      <c r="F158" s="25"/>
      <c r="G158" s="25"/>
      <c r="H158" s="99"/>
      <c r="I158" s="25"/>
      <c r="J158" s="109">
        <f>IF(SUM($J157:J157)=0,0,1)</f>
        <v>1</v>
      </c>
      <c r="K158" s="109">
        <f>IF(SUM($J157:K157)=0,0,1)</f>
        <v>1</v>
      </c>
      <c r="L158" s="109">
        <f>IF(SUM($J157:L157)=0,0,1)</f>
        <v>1</v>
      </c>
      <c r="M158" s="109">
        <f>IF(SUM($J157:M157)=0,0,1)</f>
        <v>1</v>
      </c>
      <c r="N158" s="109">
        <f>IF(SUM($J157:N157)=0,0,1)</f>
        <v>1</v>
      </c>
      <c r="O158" s="109">
        <f>IF(SUM($J157:O157)=0,0,1)</f>
        <v>1</v>
      </c>
      <c r="P158" s="109">
        <f>IF(SUM($J157:P157)=0,0,1)</f>
        <v>1</v>
      </c>
      <c r="Q158" s="109">
        <f>IF(SUM($J157:Q157)=0,0,1)</f>
        <v>1</v>
      </c>
      <c r="R158" s="109">
        <f>IF(SUM($J157:R157)=0,0,1)</f>
        <v>1</v>
      </c>
      <c r="S158" s="109">
        <f>IF(SUM($J157:S157)=0,0,1)</f>
        <v>1</v>
      </c>
      <c r="T158" s="109">
        <f>IF(SUM($J157:T157)=0,0,1)</f>
        <v>1</v>
      </c>
      <c r="U158" s="109">
        <f>IF(SUM($J157:U157)=0,0,1)</f>
        <v>1</v>
      </c>
      <c r="V158" s="109">
        <f>IF(SUM($J157:V157)=0,0,1)</f>
        <v>1</v>
      </c>
      <c r="W158" s="109">
        <f>IF(SUM($J157:W157)=0,0,1)</f>
        <v>1</v>
      </c>
      <c r="X158" s="109">
        <f>IF(SUM($J157:X157)=0,0,1)</f>
        <v>1</v>
      </c>
      <c r="Y158" s="109">
        <f>IF(SUM($J157:Y157)=0,0,1)</f>
        <v>1</v>
      </c>
      <c r="Z158" s="109">
        <f>IF(SUM($J157:Z157)=0,0,1)</f>
        <v>1</v>
      </c>
      <c r="AA158" s="109">
        <f>IF(SUM($J157:AA157)=0,0,1)</f>
        <v>1</v>
      </c>
      <c r="AB158" s="109">
        <f>IF(SUM($J157:AB157)=0,0,1)</f>
        <v>1</v>
      </c>
      <c r="AC158" s="109">
        <f>IF(SUM($J157:AC157)=0,0,1)</f>
        <v>1</v>
      </c>
      <c r="AD158" s="109">
        <f>IF(SUM($J157:AD157)=0,0,1)</f>
        <v>1</v>
      </c>
      <c r="AE158" s="109">
        <f>IF(SUM($J157:AE157)=0,0,1)</f>
        <v>1</v>
      </c>
      <c r="AF158" s="109">
        <f>IF(SUM($J157:AF157)=0,0,1)</f>
        <v>1</v>
      </c>
      <c r="AG158" s="109">
        <f>IF(SUM($J157:AG157)=0,0,1)</f>
        <v>1</v>
      </c>
      <c r="AH158" s="109">
        <f>IF(SUM($J157:AH157)=0,0,1)</f>
        <v>1</v>
      </c>
      <c r="AI158" s="109">
        <f>IF(SUM($J157:AI157)=0,0,1)</f>
        <v>1</v>
      </c>
      <c r="AJ158" s="109">
        <f>IF(SUM($J157:AJ157)=0,0,1)</f>
        <v>1</v>
      </c>
      <c r="AK158" s="109">
        <f>IF(SUM($J157:AK157)=0,0,1)</f>
        <v>1</v>
      </c>
      <c r="AL158" s="109">
        <f>IF(SUM($J157:AL157)=0,0,1)</f>
        <v>1</v>
      </c>
      <c r="AM158" s="109">
        <f>IF(SUM($J157:AM157)=0,0,1)</f>
        <v>1</v>
      </c>
      <c r="AN158" s="25"/>
      <c r="AO158" s="25"/>
      <c r="AP158" s="25"/>
      <c r="AQ158" s="25"/>
      <c r="AR158" s="25"/>
      <c r="AS158" s="25"/>
      <c r="AT158" s="25"/>
      <c r="AU158" s="25"/>
      <c r="AV158" s="25"/>
      <c r="AW158" s="25"/>
      <c r="AX158" s="25"/>
      <c r="AY158" s="25"/>
      <c r="AZ158" s="25"/>
    </row>
    <row r="159" spans="1:60" x14ac:dyDescent="0.5">
      <c r="A159" s="25"/>
      <c r="B159" s="25"/>
      <c r="C159" s="98" t="s">
        <v>20</v>
      </c>
      <c r="D159" s="98"/>
      <c r="E159" s="98"/>
      <c r="F159" s="25"/>
      <c r="G159" s="25"/>
      <c r="H159" s="99"/>
      <c r="I159" s="25"/>
      <c r="J159" s="109">
        <f>IF($AM158=0,0,IF(AND(J158=0,J157=0),K159-1,0))</f>
        <v>0</v>
      </c>
      <c r="K159" s="109">
        <f t="shared" ref="K159:AM159" si="82">IF($AM158=0,0,IF(AND(K158=0,K157=0),L159-1,0))</f>
        <v>0</v>
      </c>
      <c r="L159" s="109">
        <f t="shared" si="82"/>
        <v>0</v>
      </c>
      <c r="M159" s="109">
        <f t="shared" si="82"/>
        <v>0</v>
      </c>
      <c r="N159" s="109">
        <f t="shared" si="82"/>
        <v>0</v>
      </c>
      <c r="O159" s="109">
        <f t="shared" si="82"/>
        <v>0</v>
      </c>
      <c r="P159" s="109">
        <f t="shared" si="82"/>
        <v>0</v>
      </c>
      <c r="Q159" s="109">
        <f t="shared" si="82"/>
        <v>0</v>
      </c>
      <c r="R159" s="109">
        <f t="shared" si="82"/>
        <v>0</v>
      </c>
      <c r="S159" s="109">
        <f t="shared" si="82"/>
        <v>0</v>
      </c>
      <c r="T159" s="109">
        <f t="shared" si="82"/>
        <v>0</v>
      </c>
      <c r="U159" s="109">
        <f t="shared" si="82"/>
        <v>0</v>
      </c>
      <c r="V159" s="109">
        <f t="shared" si="82"/>
        <v>0</v>
      </c>
      <c r="W159" s="109">
        <f t="shared" si="82"/>
        <v>0</v>
      </c>
      <c r="X159" s="109">
        <f t="shared" si="82"/>
        <v>0</v>
      </c>
      <c r="Y159" s="109">
        <f t="shared" si="82"/>
        <v>0</v>
      </c>
      <c r="Z159" s="109">
        <f t="shared" si="82"/>
        <v>0</v>
      </c>
      <c r="AA159" s="109">
        <f t="shared" si="82"/>
        <v>0</v>
      </c>
      <c r="AB159" s="109">
        <f t="shared" si="82"/>
        <v>0</v>
      </c>
      <c r="AC159" s="109">
        <f t="shared" si="82"/>
        <v>0</v>
      </c>
      <c r="AD159" s="109">
        <f t="shared" si="82"/>
        <v>0</v>
      </c>
      <c r="AE159" s="109">
        <f t="shared" si="82"/>
        <v>0</v>
      </c>
      <c r="AF159" s="109">
        <f t="shared" si="82"/>
        <v>0</v>
      </c>
      <c r="AG159" s="109">
        <f t="shared" si="82"/>
        <v>0</v>
      </c>
      <c r="AH159" s="109">
        <f t="shared" si="82"/>
        <v>0</v>
      </c>
      <c r="AI159" s="109">
        <f t="shared" si="82"/>
        <v>0</v>
      </c>
      <c r="AJ159" s="109">
        <f t="shared" si="82"/>
        <v>0</v>
      </c>
      <c r="AK159" s="109">
        <f t="shared" si="82"/>
        <v>0</v>
      </c>
      <c r="AL159" s="109">
        <f t="shared" si="82"/>
        <v>0</v>
      </c>
      <c r="AM159" s="109">
        <f t="shared" si="82"/>
        <v>0</v>
      </c>
      <c r="AN159" s="25"/>
      <c r="AO159" s="25"/>
      <c r="AP159" s="25"/>
      <c r="AQ159" s="25"/>
      <c r="AR159" s="25"/>
      <c r="AS159" s="25"/>
      <c r="AT159" s="25"/>
      <c r="AU159" s="25"/>
      <c r="AV159" s="25"/>
      <c r="AW159" s="25"/>
      <c r="AX159" s="25"/>
      <c r="AY159" s="25"/>
      <c r="AZ159" s="25"/>
    </row>
    <row r="160" spans="1:60" x14ac:dyDescent="0.5">
      <c r="A160" s="25"/>
      <c r="B160" s="25"/>
      <c r="C160" s="98" t="s">
        <v>118</v>
      </c>
      <c r="D160" s="98"/>
      <c r="E160" s="98"/>
      <c r="F160" s="108"/>
      <c r="G160" s="98"/>
      <c r="H160" s="99"/>
      <c r="I160" s="99"/>
      <c r="J160" s="109">
        <f t="shared" ref="J160:AM160" si="83">IF(ABS(J159)=INDEX(leadtimes,MATCH($B121,assetnames,0),1),1,0)</f>
        <v>1</v>
      </c>
      <c r="K160" s="109">
        <f t="shared" si="83"/>
        <v>1</v>
      </c>
      <c r="L160" s="109">
        <f t="shared" si="83"/>
        <v>1</v>
      </c>
      <c r="M160" s="109">
        <f t="shared" si="83"/>
        <v>1</v>
      </c>
      <c r="N160" s="109">
        <f t="shared" si="83"/>
        <v>1</v>
      </c>
      <c r="O160" s="109">
        <f t="shared" si="83"/>
        <v>1</v>
      </c>
      <c r="P160" s="109">
        <f t="shared" si="83"/>
        <v>1</v>
      </c>
      <c r="Q160" s="109">
        <f t="shared" si="83"/>
        <v>1</v>
      </c>
      <c r="R160" s="109">
        <f t="shared" si="83"/>
        <v>1</v>
      </c>
      <c r="S160" s="109">
        <f t="shared" si="83"/>
        <v>1</v>
      </c>
      <c r="T160" s="109">
        <f t="shared" si="83"/>
        <v>1</v>
      </c>
      <c r="U160" s="109">
        <f t="shared" si="83"/>
        <v>1</v>
      </c>
      <c r="V160" s="109">
        <f t="shared" si="83"/>
        <v>1</v>
      </c>
      <c r="W160" s="109">
        <f t="shared" si="83"/>
        <v>1</v>
      </c>
      <c r="X160" s="109">
        <f t="shared" si="83"/>
        <v>1</v>
      </c>
      <c r="Y160" s="109">
        <f t="shared" si="83"/>
        <v>1</v>
      </c>
      <c r="Z160" s="109">
        <f t="shared" si="83"/>
        <v>1</v>
      </c>
      <c r="AA160" s="109">
        <f t="shared" si="83"/>
        <v>1</v>
      </c>
      <c r="AB160" s="109">
        <f t="shared" si="83"/>
        <v>1</v>
      </c>
      <c r="AC160" s="109">
        <f t="shared" si="83"/>
        <v>1</v>
      </c>
      <c r="AD160" s="109">
        <f t="shared" si="83"/>
        <v>1</v>
      </c>
      <c r="AE160" s="109">
        <f t="shared" si="83"/>
        <v>1</v>
      </c>
      <c r="AF160" s="109">
        <f t="shared" si="83"/>
        <v>1</v>
      </c>
      <c r="AG160" s="109">
        <f t="shared" si="83"/>
        <v>1</v>
      </c>
      <c r="AH160" s="109">
        <f t="shared" si="83"/>
        <v>1</v>
      </c>
      <c r="AI160" s="109">
        <f t="shared" si="83"/>
        <v>1</v>
      </c>
      <c r="AJ160" s="109">
        <f t="shared" si="83"/>
        <v>1</v>
      </c>
      <c r="AK160" s="109">
        <f t="shared" si="83"/>
        <v>1</v>
      </c>
      <c r="AL160" s="109">
        <f t="shared" si="83"/>
        <v>1</v>
      </c>
      <c r="AM160" s="109">
        <f t="shared" si="83"/>
        <v>1</v>
      </c>
      <c r="AN160" s="109"/>
      <c r="AO160" s="109"/>
      <c r="AP160" s="109"/>
      <c r="AQ160" s="109"/>
      <c r="AR160" s="109"/>
      <c r="AS160" s="109"/>
      <c r="AT160" s="109"/>
      <c r="AU160" s="109"/>
      <c r="AV160" s="109"/>
      <c r="AW160" s="109"/>
      <c r="AX160" s="109"/>
      <c r="AY160" s="109"/>
      <c r="AZ160" s="109"/>
      <c r="BA160" s="109"/>
      <c r="BB160" s="109"/>
      <c r="BC160" s="109"/>
      <c r="BD160" s="109"/>
      <c r="BE160" s="100"/>
      <c r="BF160" s="100"/>
      <c r="BG160" s="100"/>
      <c r="BH160" s="100"/>
    </row>
    <row r="161" spans="1:60" x14ac:dyDescent="0.5">
      <c r="A161" s="25"/>
      <c r="B161" s="25"/>
      <c r="C161" s="98" t="s">
        <v>119</v>
      </c>
      <c r="D161" s="98"/>
      <c r="E161" s="98"/>
      <c r="F161" s="108"/>
      <c r="G161" s="98"/>
      <c r="H161" s="99"/>
      <c r="I161" s="99"/>
      <c r="J161" s="109">
        <f>IF(SUM($J160:J160)=1,1,0)+I161</f>
        <v>1</v>
      </c>
      <c r="K161" s="109">
        <f>IF(SUM($J160:K160)=1,1,0)+J161</f>
        <v>1</v>
      </c>
      <c r="L161" s="109">
        <f>IF(SUM($J160:L160)=1,1,0)+K161</f>
        <v>1</v>
      </c>
      <c r="M161" s="109">
        <f>IF(SUM($J160:M160)=1,1,0)+L161</f>
        <v>1</v>
      </c>
      <c r="N161" s="109">
        <f>IF(SUM($J160:N160)=1,1,0)+M161</f>
        <v>1</v>
      </c>
      <c r="O161" s="109">
        <f>IF(SUM($J160:O160)=1,1,0)+N161</f>
        <v>1</v>
      </c>
      <c r="P161" s="109">
        <f>IF(SUM($J160:P160)=1,1,0)+O161</f>
        <v>1</v>
      </c>
      <c r="Q161" s="109">
        <f>IF(SUM($J160:Q160)=1,1,0)+P161</f>
        <v>1</v>
      </c>
      <c r="R161" s="109">
        <f>IF(SUM($J160:R160)=1,1,0)+Q161</f>
        <v>1</v>
      </c>
      <c r="S161" s="109">
        <f>IF(SUM($J160:S160)=1,1,0)+R161</f>
        <v>1</v>
      </c>
      <c r="T161" s="109">
        <f>IF(SUM($J160:T160)=1,1,0)+S161</f>
        <v>1</v>
      </c>
      <c r="U161" s="109">
        <f>IF(SUM($J160:U160)=1,1,0)+T161</f>
        <v>1</v>
      </c>
      <c r="V161" s="109">
        <f>IF(SUM($J160:V160)=1,1,0)+U161</f>
        <v>1</v>
      </c>
      <c r="W161" s="109">
        <f>IF(SUM($J160:W160)=1,1,0)+V161</f>
        <v>1</v>
      </c>
      <c r="X161" s="109">
        <f>IF(SUM($J160:X160)=1,1,0)+W161</f>
        <v>1</v>
      </c>
      <c r="Y161" s="109">
        <f>IF(SUM($J160:Y160)=1,1,0)+X161</f>
        <v>1</v>
      </c>
      <c r="Z161" s="109">
        <f>IF(SUM($J160:Z160)=1,1,0)+Y161</f>
        <v>1</v>
      </c>
      <c r="AA161" s="109">
        <f>IF(SUM($J160:AA160)=1,1,0)+Z161</f>
        <v>1</v>
      </c>
      <c r="AB161" s="109">
        <f>IF(SUM($J160:AB160)=1,1,0)+AA161</f>
        <v>1</v>
      </c>
      <c r="AC161" s="109">
        <f>IF(SUM($J160:AC160)=1,1,0)+AB161</f>
        <v>1</v>
      </c>
      <c r="AD161" s="109">
        <f>IF(SUM($J160:AD160)=1,1,0)+AC161</f>
        <v>1</v>
      </c>
      <c r="AE161" s="109">
        <f>IF(SUM($J160:AE160)=1,1,0)+AD161</f>
        <v>1</v>
      </c>
      <c r="AF161" s="109">
        <f>IF(SUM($J160:AF160)=1,1,0)+AE161</f>
        <v>1</v>
      </c>
      <c r="AG161" s="109">
        <f>IF(SUM($J160:AG160)=1,1,0)+AF161</f>
        <v>1</v>
      </c>
      <c r="AH161" s="109">
        <f>IF(SUM($J160:AH160)=1,1,0)+AG161</f>
        <v>1</v>
      </c>
      <c r="AI161" s="109">
        <f>IF(SUM($J160:AI160)=1,1,0)+AH161</f>
        <v>1</v>
      </c>
      <c r="AJ161" s="109">
        <f>IF(SUM($J160:AJ160)=1,1,0)+AI161</f>
        <v>1</v>
      </c>
      <c r="AK161" s="109">
        <f>IF(SUM($J160:AK160)=1,1,0)+AJ161</f>
        <v>1</v>
      </c>
      <c r="AL161" s="109">
        <f>IF(SUM($J160:AL160)=1,1,0)+AK161</f>
        <v>1</v>
      </c>
      <c r="AM161" s="109">
        <f>IF(SUM($J160:AM160)=1,1,0)+AL161</f>
        <v>1</v>
      </c>
      <c r="AN161" s="109"/>
      <c r="AO161" s="109"/>
      <c r="AP161" s="109"/>
      <c r="AQ161" s="109"/>
      <c r="AR161" s="109"/>
      <c r="AS161" s="109"/>
      <c r="AT161" s="109"/>
      <c r="AU161" s="109"/>
      <c r="AV161" s="109"/>
      <c r="AW161" s="109"/>
      <c r="AX161" s="109"/>
      <c r="AY161" s="109"/>
      <c r="AZ161" s="109"/>
      <c r="BA161" s="109"/>
      <c r="BB161" s="109"/>
      <c r="BC161" s="109"/>
      <c r="BD161" s="109"/>
      <c r="BE161" s="100"/>
      <c r="BF161" s="100"/>
      <c r="BG161" s="100"/>
      <c r="BH161" s="100"/>
    </row>
    <row r="162" spans="1:60" ht="15.65" customHeight="1" x14ac:dyDescent="0.5">
      <c r="A162" s="25"/>
      <c r="B162" s="25"/>
      <c r="C162" s="98" t="s">
        <v>117</v>
      </c>
      <c r="D162" s="99"/>
      <c r="E162" s="99"/>
      <c r="F162" s="106"/>
      <c r="G162" s="99"/>
      <c r="H162" s="99"/>
      <c r="I162" s="99"/>
      <c r="J162" s="107">
        <f>SUM($J157:J157)</f>
        <v>1</v>
      </c>
      <c r="K162" s="107">
        <f>SUM($J157:K157)</f>
        <v>2</v>
      </c>
      <c r="L162" s="107">
        <f>SUM($J157:L157)</f>
        <v>3</v>
      </c>
      <c r="M162" s="107">
        <f>SUM($J157:M157)</f>
        <v>4</v>
      </c>
      <c r="N162" s="107">
        <f>SUM($J157:N157)</f>
        <v>5</v>
      </c>
      <c r="O162" s="107">
        <f>SUM($J157:O157)</f>
        <v>6</v>
      </c>
      <c r="P162" s="107">
        <f>SUM($J157:P157)</f>
        <v>7</v>
      </c>
      <c r="Q162" s="107">
        <f>SUM($J157:Q157)</f>
        <v>8</v>
      </c>
      <c r="R162" s="107">
        <f>SUM($J157:R157)</f>
        <v>9</v>
      </c>
      <c r="S162" s="107">
        <f>SUM($J157:S157)</f>
        <v>10</v>
      </c>
      <c r="T162" s="107">
        <f>SUM($J157:T157)</f>
        <v>11</v>
      </c>
      <c r="U162" s="107">
        <f>SUM($J157:U157)</f>
        <v>12</v>
      </c>
      <c r="V162" s="107">
        <f>SUM($J157:V157)</f>
        <v>13</v>
      </c>
      <c r="W162" s="107">
        <f>SUM($J157:W157)</f>
        <v>14</v>
      </c>
      <c r="X162" s="107">
        <f>SUM($J157:X157)</f>
        <v>15</v>
      </c>
      <c r="Y162" s="107">
        <f>SUM($J157:Y157)</f>
        <v>16</v>
      </c>
      <c r="Z162" s="107">
        <f>SUM($J157:Z157)</f>
        <v>17</v>
      </c>
      <c r="AA162" s="107">
        <f>SUM($J157:AA157)</f>
        <v>18</v>
      </c>
      <c r="AB162" s="107">
        <f>SUM($J157:AB157)</f>
        <v>19</v>
      </c>
      <c r="AC162" s="107">
        <f>SUM($J157:AC157)</f>
        <v>20</v>
      </c>
      <c r="AD162" s="107">
        <f>SUM($J157:AD157)</f>
        <v>21</v>
      </c>
      <c r="AE162" s="107">
        <f>SUM($J157:AE157)</f>
        <v>22</v>
      </c>
      <c r="AF162" s="107">
        <f>SUM($J157:AF157)</f>
        <v>23</v>
      </c>
      <c r="AG162" s="107">
        <f>SUM($J157:AG157)</f>
        <v>24</v>
      </c>
      <c r="AH162" s="107">
        <f>SUM($J157:AH157)</f>
        <v>25</v>
      </c>
      <c r="AI162" s="107">
        <f>SUM($J157:AI157)</f>
        <v>26</v>
      </c>
      <c r="AJ162" s="107">
        <f>SUM($J157:AJ157)</f>
        <v>27</v>
      </c>
      <c r="AK162" s="107">
        <f>SUM($J157:AK157)</f>
        <v>28</v>
      </c>
      <c r="AL162" s="107">
        <f>SUM($J157:AL157)</f>
        <v>29</v>
      </c>
      <c r="AM162" s="107">
        <f>SUM($J157:AM157)</f>
        <v>30</v>
      </c>
      <c r="AN162" s="107"/>
      <c r="AO162" s="107"/>
      <c r="AP162" s="107"/>
      <c r="AQ162" s="107"/>
      <c r="AR162" s="107"/>
      <c r="AS162" s="107"/>
      <c r="AT162" s="107"/>
      <c r="AU162" s="107"/>
      <c r="AV162" s="107"/>
      <c r="AW162" s="107"/>
      <c r="AX162" s="107"/>
      <c r="AY162" s="107"/>
      <c r="AZ162" s="107"/>
      <c r="BA162" s="107"/>
      <c r="BB162" s="107"/>
      <c r="BC162" s="107"/>
      <c r="BD162" s="107"/>
      <c r="BE162" s="107"/>
      <c r="BF162" s="107"/>
      <c r="BG162" s="107"/>
      <c r="BH162" s="107"/>
    </row>
    <row r="163" spans="1:60" x14ac:dyDescent="0.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row>
    <row r="164" spans="1:60" x14ac:dyDescent="0.5">
      <c r="A164" s="25"/>
      <c r="B164" s="25"/>
      <c r="C164" s="25" t="s">
        <v>95</v>
      </c>
      <c r="D164" s="25" t="s">
        <v>1</v>
      </c>
      <c r="E164" s="25"/>
      <c r="G164" s="25"/>
      <c r="H164" s="105">
        <f>J164+NPV(discountrate,K164:AK164)</f>
        <v>0</v>
      </c>
      <c r="I164" s="25"/>
      <c r="J164" s="105">
        <f t="shared" ref="J164:AM164" si="84">INDEX(STPvolumes,MATCH($C164,volumesnames,0),MATCH(J$7,years,0))</f>
        <v>0</v>
      </c>
      <c r="K164" s="105">
        <f t="shared" si="84"/>
        <v>0</v>
      </c>
      <c r="L164" s="105">
        <f t="shared" si="84"/>
        <v>0</v>
      </c>
      <c r="M164" s="105">
        <f t="shared" si="84"/>
        <v>0</v>
      </c>
      <c r="N164" s="105">
        <f t="shared" si="84"/>
        <v>0</v>
      </c>
      <c r="O164" s="105">
        <f t="shared" si="84"/>
        <v>0</v>
      </c>
      <c r="P164" s="105">
        <f t="shared" si="84"/>
        <v>0</v>
      </c>
      <c r="Q164" s="105">
        <f t="shared" si="84"/>
        <v>0</v>
      </c>
      <c r="R164" s="105">
        <f t="shared" si="84"/>
        <v>0</v>
      </c>
      <c r="S164" s="105">
        <f t="shared" si="84"/>
        <v>0</v>
      </c>
      <c r="T164" s="105">
        <f t="shared" si="84"/>
        <v>0</v>
      </c>
      <c r="U164" s="105">
        <f t="shared" si="84"/>
        <v>0</v>
      </c>
      <c r="V164" s="105">
        <f t="shared" si="84"/>
        <v>0</v>
      </c>
      <c r="W164" s="105">
        <f t="shared" si="84"/>
        <v>0</v>
      </c>
      <c r="X164" s="105">
        <f t="shared" si="84"/>
        <v>0</v>
      </c>
      <c r="Y164" s="105">
        <f t="shared" si="84"/>
        <v>0</v>
      </c>
      <c r="Z164" s="105">
        <f t="shared" si="84"/>
        <v>0</v>
      </c>
      <c r="AA164" s="105">
        <f t="shared" si="84"/>
        <v>0</v>
      </c>
      <c r="AB164" s="105">
        <f t="shared" si="84"/>
        <v>0</v>
      </c>
      <c r="AC164" s="105">
        <f t="shared" si="84"/>
        <v>0</v>
      </c>
      <c r="AD164" s="105">
        <f t="shared" si="84"/>
        <v>0</v>
      </c>
      <c r="AE164" s="105">
        <f t="shared" si="84"/>
        <v>0</v>
      </c>
      <c r="AF164" s="105">
        <f t="shared" si="84"/>
        <v>0</v>
      </c>
      <c r="AG164" s="105">
        <f t="shared" si="84"/>
        <v>0</v>
      </c>
      <c r="AH164" s="105">
        <f t="shared" si="84"/>
        <v>0</v>
      </c>
      <c r="AI164" s="105">
        <f t="shared" si="84"/>
        <v>0</v>
      </c>
      <c r="AJ164" s="105">
        <f t="shared" si="84"/>
        <v>0</v>
      </c>
      <c r="AK164" s="105">
        <f t="shared" si="84"/>
        <v>0</v>
      </c>
      <c r="AL164" s="105">
        <f t="shared" si="84"/>
        <v>0</v>
      </c>
      <c r="AM164" s="105">
        <f t="shared" si="84"/>
        <v>0</v>
      </c>
      <c r="AN164" s="25"/>
      <c r="AO164" s="25"/>
      <c r="AP164" s="25"/>
      <c r="AQ164" s="25"/>
      <c r="AR164" s="25"/>
      <c r="AS164" s="25"/>
      <c r="AT164" s="25"/>
      <c r="AU164" s="25"/>
      <c r="AV164" s="25"/>
      <c r="AW164" s="25"/>
      <c r="AX164" s="25"/>
      <c r="AY164" s="25"/>
      <c r="AZ164" s="25"/>
    </row>
    <row r="165" spans="1:60" x14ac:dyDescent="0.5">
      <c r="A165" s="25"/>
      <c r="B165" s="25"/>
      <c r="C165" s="25" t="s">
        <v>147</v>
      </c>
      <c r="D165" s="25" t="s">
        <v>150</v>
      </c>
      <c r="E165" s="25"/>
      <c r="F165" s="106"/>
      <c r="G165" s="25"/>
      <c r="H165" s="25"/>
      <c r="I165" s="25"/>
      <c r="J165" s="105">
        <f>J174</f>
        <v>0</v>
      </c>
      <c r="K165" s="105">
        <f t="shared" ref="K165:AM165" si="85">K174</f>
        <v>0</v>
      </c>
      <c r="L165" s="105">
        <f t="shared" si="85"/>
        <v>0</v>
      </c>
      <c r="M165" s="105">
        <f t="shared" si="85"/>
        <v>0</v>
      </c>
      <c r="N165" s="105">
        <f t="shared" si="85"/>
        <v>0</v>
      </c>
      <c r="O165" s="105">
        <f t="shared" si="85"/>
        <v>0</v>
      </c>
      <c r="P165" s="105">
        <f t="shared" si="85"/>
        <v>0</v>
      </c>
      <c r="Q165" s="105">
        <f t="shared" si="85"/>
        <v>0</v>
      </c>
      <c r="R165" s="105">
        <f t="shared" si="85"/>
        <v>0</v>
      </c>
      <c r="S165" s="105">
        <f t="shared" si="85"/>
        <v>0</v>
      </c>
      <c r="T165" s="105">
        <f t="shared" si="85"/>
        <v>0</v>
      </c>
      <c r="U165" s="105">
        <f t="shared" si="85"/>
        <v>0</v>
      </c>
      <c r="V165" s="105">
        <f t="shared" si="85"/>
        <v>0</v>
      </c>
      <c r="W165" s="105">
        <f t="shared" si="85"/>
        <v>0</v>
      </c>
      <c r="X165" s="105">
        <f t="shared" si="85"/>
        <v>0</v>
      </c>
      <c r="Y165" s="105">
        <f t="shared" si="85"/>
        <v>0</v>
      </c>
      <c r="Z165" s="105">
        <f t="shared" si="85"/>
        <v>0</v>
      </c>
      <c r="AA165" s="105">
        <f t="shared" si="85"/>
        <v>0</v>
      </c>
      <c r="AB165" s="105">
        <f t="shared" si="85"/>
        <v>0</v>
      </c>
      <c r="AC165" s="105">
        <f t="shared" si="85"/>
        <v>0</v>
      </c>
      <c r="AD165" s="105">
        <f t="shared" si="85"/>
        <v>0</v>
      </c>
      <c r="AE165" s="105">
        <f t="shared" si="85"/>
        <v>0</v>
      </c>
      <c r="AF165" s="105">
        <f t="shared" si="85"/>
        <v>0</v>
      </c>
      <c r="AG165" s="105">
        <f t="shared" si="85"/>
        <v>0</v>
      </c>
      <c r="AH165" s="105">
        <f t="shared" si="85"/>
        <v>0</v>
      </c>
      <c r="AI165" s="105">
        <f t="shared" si="85"/>
        <v>0</v>
      </c>
      <c r="AJ165" s="105">
        <f t="shared" si="85"/>
        <v>0</v>
      </c>
      <c r="AK165" s="105">
        <f t="shared" si="85"/>
        <v>0</v>
      </c>
      <c r="AL165" s="105">
        <f t="shared" si="85"/>
        <v>0</v>
      </c>
      <c r="AM165" s="105">
        <f t="shared" si="85"/>
        <v>0</v>
      </c>
      <c r="AN165" s="25"/>
      <c r="AO165" s="25"/>
      <c r="AP165" s="25"/>
      <c r="AQ165" s="25"/>
      <c r="AR165" s="25"/>
      <c r="AS165" s="25"/>
      <c r="AT165" s="25"/>
      <c r="AU165" s="25"/>
      <c r="AV165" s="25"/>
      <c r="AW165" s="25"/>
      <c r="AX165" s="25"/>
      <c r="AY165" s="25"/>
      <c r="AZ165" s="25"/>
    </row>
    <row r="166" spans="1:60" x14ac:dyDescent="0.5">
      <c r="A166" s="25"/>
      <c r="B166" s="25"/>
      <c r="C166" s="25" t="s">
        <v>23</v>
      </c>
      <c r="D166" s="25" t="s">
        <v>131</v>
      </c>
      <c r="E166" s="25"/>
      <c r="F166" s="106" t="s">
        <v>129</v>
      </c>
      <c r="G166" s="25"/>
      <c r="H166" s="25"/>
      <c r="I166" s="25"/>
      <c r="J166" s="104" cm="1">
        <f t="array" ref="J166">IF(J161=0,0,INDEX(capex,MATCH($B121,assetnames,0),J161))</f>
        <v>0</v>
      </c>
      <c r="K166" s="104" cm="1">
        <f t="array" ref="K166">IF(K161=0,0,INDEX(capex,MATCH($B121,assetnames,0),K161))</f>
        <v>0</v>
      </c>
      <c r="L166" s="104" cm="1">
        <f t="array" ref="L166">IF(L161=0,0,INDEX(capex,MATCH($B121,assetnames,0),L161))</f>
        <v>0</v>
      </c>
      <c r="M166" s="104" cm="1">
        <f t="array" ref="M166">IF(M161=0,0,INDEX(capex,MATCH($B121,assetnames,0),M161))</f>
        <v>0</v>
      </c>
      <c r="N166" s="104" cm="1">
        <f t="array" ref="N166">IF(N161=0,0,INDEX(capex,MATCH($B121,assetnames,0),N161))</f>
        <v>0</v>
      </c>
      <c r="O166" s="104" cm="1">
        <f t="array" ref="O166">IF(O161=0,0,INDEX(capex,MATCH($B121,assetnames,0),O161))</f>
        <v>0</v>
      </c>
      <c r="P166" s="104" cm="1">
        <f t="array" ref="P166">IF(P161=0,0,INDEX(capex,MATCH($B121,assetnames,0),P161))</f>
        <v>0</v>
      </c>
      <c r="Q166" s="104" cm="1">
        <f t="array" ref="Q166">IF(Q161=0,0,INDEX(capex,MATCH($B121,assetnames,0),Q161))</f>
        <v>0</v>
      </c>
      <c r="R166" s="104" cm="1">
        <f t="array" ref="R166">IF(R161=0,0,INDEX(capex,MATCH($B121,assetnames,0),R161))</f>
        <v>0</v>
      </c>
      <c r="S166" s="104" cm="1">
        <f t="array" ref="S166">IF(S161=0,0,INDEX(capex,MATCH($B121,assetnames,0),S161))</f>
        <v>0</v>
      </c>
      <c r="T166" s="104" cm="1">
        <f t="array" ref="T166">IF(T161=0,0,INDEX(capex,MATCH($B121,assetnames,0),T161))</f>
        <v>0</v>
      </c>
      <c r="U166" s="104" cm="1">
        <f t="array" ref="U166">IF(U161=0,0,INDEX(capex,MATCH($B121,assetnames,0),U161))</f>
        <v>0</v>
      </c>
      <c r="V166" s="104" cm="1">
        <f t="array" ref="V166">IF(V161=0,0,INDEX(capex,MATCH($B121,assetnames,0),V161))</f>
        <v>0</v>
      </c>
      <c r="W166" s="104" cm="1">
        <f t="array" ref="W166">IF(W161=0,0,INDEX(capex,MATCH($B121,assetnames,0),W161))</f>
        <v>0</v>
      </c>
      <c r="X166" s="104" cm="1">
        <f t="array" ref="X166">IF(X161=0,0,INDEX(capex,MATCH($B121,assetnames,0),X161))</f>
        <v>0</v>
      </c>
      <c r="Y166" s="104" cm="1">
        <f t="array" ref="Y166">IF(Y161=0,0,INDEX(capex,MATCH($B121,assetnames,0),Y161))</f>
        <v>0</v>
      </c>
      <c r="Z166" s="104" cm="1">
        <f t="array" ref="Z166">IF(Z161=0,0,INDEX(capex,MATCH($B121,assetnames,0),Z161))</f>
        <v>0</v>
      </c>
      <c r="AA166" s="104" cm="1">
        <f t="array" ref="AA166">IF(AA161=0,0,INDEX(capex,MATCH($B121,assetnames,0),AA161))</f>
        <v>0</v>
      </c>
      <c r="AB166" s="104" cm="1">
        <f t="array" ref="AB166">IF(AB161=0,0,INDEX(capex,MATCH($B121,assetnames,0),AB161))</f>
        <v>0</v>
      </c>
      <c r="AC166" s="104" cm="1">
        <f t="array" ref="AC166">IF(AC161=0,0,INDEX(capex,MATCH($B121,assetnames,0),AC161))</f>
        <v>0</v>
      </c>
      <c r="AD166" s="104" cm="1">
        <f t="array" ref="AD166">IF(AD161=0,0,INDEX(capex,MATCH($B121,assetnames,0),AD161))</f>
        <v>0</v>
      </c>
      <c r="AE166" s="104" cm="1">
        <f t="array" ref="AE166">IF(AE161=0,0,INDEX(capex,MATCH($B121,assetnames,0),AE161))</f>
        <v>0</v>
      </c>
      <c r="AF166" s="104" cm="1">
        <f t="array" ref="AF166">IF(AF161=0,0,INDEX(capex,MATCH($B121,assetnames,0),AF161))</f>
        <v>0</v>
      </c>
      <c r="AG166" s="104" cm="1">
        <f t="array" ref="AG166">IF(AG161=0,0,INDEX(capex,MATCH($B121,assetnames,0),AG161))</f>
        <v>0</v>
      </c>
      <c r="AH166" s="104" cm="1">
        <f t="array" ref="AH166">IF(AH161=0,0,INDEX(capex,MATCH($B121,assetnames,0),AH161))</f>
        <v>0</v>
      </c>
      <c r="AI166" s="104" cm="1">
        <f t="array" ref="AI166">IF(AI161=0,0,INDEX(capex,MATCH($B121,assetnames,0),AI161))</f>
        <v>0</v>
      </c>
      <c r="AJ166" s="104" cm="1">
        <f t="array" ref="AJ166">IF(AJ161=0,0,INDEX(capex,MATCH($B121,assetnames,0),AJ161))</f>
        <v>0</v>
      </c>
      <c r="AK166" s="104" cm="1">
        <f t="array" ref="AK166">IF(AK161=0,0,INDEX(capex,MATCH($B121,assetnames,0),AK161))</f>
        <v>0</v>
      </c>
      <c r="AL166" s="104" cm="1">
        <f t="array" ref="AL166">IF(AL161=0,0,INDEX(capex,MATCH($B121,assetnames,0),AL161))</f>
        <v>0</v>
      </c>
      <c r="AM166" s="104" cm="1">
        <f t="array" ref="AM166">IF(AM161=0,0,INDEX(capex,MATCH($B121,assetnames,0),AM161))</f>
        <v>0</v>
      </c>
      <c r="AN166" s="25"/>
      <c r="AO166" s="25"/>
      <c r="AP166" s="25"/>
      <c r="AQ166" s="25"/>
      <c r="AR166" s="25"/>
      <c r="AS166" s="25"/>
      <c r="AT166" s="25"/>
      <c r="AU166" s="25"/>
      <c r="AV166" s="25"/>
      <c r="AW166" s="25"/>
      <c r="AX166" s="25"/>
      <c r="AY166" s="25"/>
      <c r="AZ166" s="25"/>
    </row>
    <row r="167" spans="1:60" x14ac:dyDescent="0.5">
      <c r="A167" s="25"/>
      <c r="B167" s="25"/>
      <c r="C167" s="25" t="s">
        <v>24</v>
      </c>
      <c r="D167" s="25" t="s">
        <v>131</v>
      </c>
      <c r="E167" s="25"/>
      <c r="F167" s="121" t="str">
        <f>IF(H168=0,"",INDEX($J$7:$AM$7,1,MATCH(1,$J160:$AM160,0)))</f>
        <v/>
      </c>
      <c r="G167" s="25"/>
      <c r="H167" s="25"/>
      <c r="I167" s="25"/>
      <c r="J167" s="104">
        <f t="shared" ref="J167:AM167" si="86">IF(J157=1,INDEX(opex,MATCH($B121,assetnames,0),J162),0)</f>
        <v>0</v>
      </c>
      <c r="K167" s="104">
        <f t="shared" si="86"/>
        <v>0</v>
      </c>
      <c r="L167" s="104">
        <f t="shared" si="86"/>
        <v>0</v>
      </c>
      <c r="M167" s="104">
        <f t="shared" si="86"/>
        <v>0</v>
      </c>
      <c r="N167" s="104">
        <f t="shared" si="86"/>
        <v>0</v>
      </c>
      <c r="O167" s="104">
        <f t="shared" si="86"/>
        <v>0</v>
      </c>
      <c r="P167" s="104">
        <f t="shared" si="86"/>
        <v>0</v>
      </c>
      <c r="Q167" s="104">
        <f t="shared" si="86"/>
        <v>0</v>
      </c>
      <c r="R167" s="104">
        <f t="shared" si="86"/>
        <v>0</v>
      </c>
      <c r="S167" s="104">
        <f t="shared" si="86"/>
        <v>0</v>
      </c>
      <c r="T167" s="104">
        <f t="shared" si="86"/>
        <v>0</v>
      </c>
      <c r="U167" s="104">
        <f t="shared" si="86"/>
        <v>0</v>
      </c>
      <c r="V167" s="104">
        <f t="shared" si="86"/>
        <v>0</v>
      </c>
      <c r="W167" s="104">
        <f t="shared" si="86"/>
        <v>0</v>
      </c>
      <c r="X167" s="104">
        <f t="shared" si="86"/>
        <v>0</v>
      </c>
      <c r="Y167" s="104">
        <f t="shared" si="86"/>
        <v>0</v>
      </c>
      <c r="Z167" s="104">
        <f t="shared" si="86"/>
        <v>0</v>
      </c>
      <c r="AA167" s="104">
        <f t="shared" si="86"/>
        <v>0</v>
      </c>
      <c r="AB167" s="104">
        <f t="shared" si="86"/>
        <v>0</v>
      </c>
      <c r="AC167" s="104">
        <f t="shared" si="86"/>
        <v>0</v>
      </c>
      <c r="AD167" s="104">
        <f t="shared" si="86"/>
        <v>0</v>
      </c>
      <c r="AE167" s="104">
        <f t="shared" si="86"/>
        <v>0</v>
      </c>
      <c r="AF167" s="104">
        <f t="shared" si="86"/>
        <v>0</v>
      </c>
      <c r="AG167" s="104">
        <f t="shared" si="86"/>
        <v>0</v>
      </c>
      <c r="AH167" s="104">
        <f t="shared" si="86"/>
        <v>0</v>
      </c>
      <c r="AI167" s="104">
        <f t="shared" si="86"/>
        <v>0</v>
      </c>
      <c r="AJ167" s="104">
        <f t="shared" si="86"/>
        <v>0</v>
      </c>
      <c r="AK167" s="104">
        <f t="shared" si="86"/>
        <v>0</v>
      </c>
      <c r="AL167" s="104">
        <f t="shared" si="86"/>
        <v>0</v>
      </c>
      <c r="AM167" s="104">
        <f t="shared" si="86"/>
        <v>0</v>
      </c>
      <c r="AN167" s="25"/>
      <c r="AO167" s="25"/>
      <c r="AP167" s="25"/>
      <c r="AQ167" s="25"/>
      <c r="AR167" s="25"/>
      <c r="AS167" s="25"/>
      <c r="AT167" s="25"/>
      <c r="AU167" s="25"/>
      <c r="AV167" s="25"/>
      <c r="AW167" s="25"/>
      <c r="AX167" s="25"/>
      <c r="AY167" s="25"/>
      <c r="AZ167" s="25"/>
    </row>
    <row r="168" spans="1:60" s="101" customFormat="1" x14ac:dyDescent="0.5">
      <c r="A168" s="26"/>
      <c r="B168" s="26"/>
      <c r="C168" s="26" t="s">
        <v>25</v>
      </c>
      <c r="D168" s="26" t="s">
        <v>131</v>
      </c>
      <c r="E168" s="26"/>
      <c r="F168" s="26"/>
      <c r="G168" s="26"/>
      <c r="H168" s="105">
        <f>J168+NPV(discountrate,K168:AK168)</f>
        <v>0</v>
      </c>
      <c r="I168" s="26"/>
      <c r="J168" s="105">
        <f>SUM(J165:J167)</f>
        <v>0</v>
      </c>
      <c r="K168" s="105">
        <f t="shared" ref="K168:AM168" si="87">SUM(K165:K167)</f>
        <v>0</v>
      </c>
      <c r="L168" s="105">
        <f t="shared" si="87"/>
        <v>0</v>
      </c>
      <c r="M168" s="105">
        <f t="shared" si="87"/>
        <v>0</v>
      </c>
      <c r="N168" s="105">
        <f t="shared" si="87"/>
        <v>0</v>
      </c>
      <c r="O168" s="105">
        <f t="shared" si="87"/>
        <v>0</v>
      </c>
      <c r="P168" s="105">
        <f t="shared" si="87"/>
        <v>0</v>
      </c>
      <c r="Q168" s="105">
        <f t="shared" si="87"/>
        <v>0</v>
      </c>
      <c r="R168" s="105">
        <f t="shared" si="87"/>
        <v>0</v>
      </c>
      <c r="S168" s="105">
        <f t="shared" si="87"/>
        <v>0</v>
      </c>
      <c r="T168" s="105">
        <f t="shared" si="87"/>
        <v>0</v>
      </c>
      <c r="U168" s="105">
        <f t="shared" si="87"/>
        <v>0</v>
      </c>
      <c r="V168" s="105">
        <f t="shared" si="87"/>
        <v>0</v>
      </c>
      <c r="W168" s="105">
        <f t="shared" si="87"/>
        <v>0</v>
      </c>
      <c r="X168" s="105">
        <f t="shared" si="87"/>
        <v>0</v>
      </c>
      <c r="Y168" s="105">
        <f t="shared" si="87"/>
        <v>0</v>
      </c>
      <c r="Z168" s="105">
        <f t="shared" si="87"/>
        <v>0</v>
      </c>
      <c r="AA168" s="105">
        <f t="shared" si="87"/>
        <v>0</v>
      </c>
      <c r="AB168" s="105">
        <f t="shared" si="87"/>
        <v>0</v>
      </c>
      <c r="AC168" s="105">
        <f t="shared" si="87"/>
        <v>0</v>
      </c>
      <c r="AD168" s="105">
        <f t="shared" si="87"/>
        <v>0</v>
      </c>
      <c r="AE168" s="105">
        <f t="shared" si="87"/>
        <v>0</v>
      </c>
      <c r="AF168" s="105">
        <f t="shared" si="87"/>
        <v>0</v>
      </c>
      <c r="AG168" s="105">
        <f t="shared" si="87"/>
        <v>0</v>
      </c>
      <c r="AH168" s="105">
        <f t="shared" si="87"/>
        <v>0</v>
      </c>
      <c r="AI168" s="105">
        <f t="shared" si="87"/>
        <v>0</v>
      </c>
      <c r="AJ168" s="105">
        <f t="shared" si="87"/>
        <v>0</v>
      </c>
      <c r="AK168" s="105">
        <f t="shared" si="87"/>
        <v>0</v>
      </c>
      <c r="AL168" s="105">
        <f t="shared" si="87"/>
        <v>0</v>
      </c>
      <c r="AM168" s="105">
        <f t="shared" si="87"/>
        <v>0</v>
      </c>
      <c r="AN168" s="26"/>
      <c r="AO168" s="26"/>
      <c r="AP168" s="26"/>
      <c r="AQ168" s="26"/>
      <c r="AR168" s="26"/>
      <c r="AS168" s="26"/>
      <c r="AT168" s="26"/>
      <c r="AU168" s="26"/>
      <c r="AV168" s="26"/>
      <c r="AW168" s="26"/>
      <c r="AX168" s="26"/>
      <c r="AY168" s="26"/>
      <c r="AZ168" s="26"/>
    </row>
    <row r="169" spans="1:60" s="101" customFormat="1" x14ac:dyDescent="0.5">
      <c r="A169" s="26"/>
      <c r="B169" s="26"/>
      <c r="C169" s="26"/>
      <c r="D169" s="26"/>
      <c r="E169" s="26"/>
      <c r="F169" s="26"/>
      <c r="G169" s="26"/>
      <c r="H169" s="157"/>
      <c r="I169" s="26"/>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E169" s="157"/>
      <c r="AF169" s="157"/>
      <c r="AG169" s="157"/>
      <c r="AH169" s="157"/>
      <c r="AI169" s="157"/>
      <c r="AJ169" s="157"/>
      <c r="AK169" s="157"/>
      <c r="AL169" s="157"/>
      <c r="AM169" s="157"/>
      <c r="AN169" s="26"/>
      <c r="AO169" s="26"/>
      <c r="AP169" s="26"/>
      <c r="AQ169" s="26"/>
      <c r="AR169" s="26"/>
      <c r="AS169" s="26"/>
      <c r="AT169" s="26"/>
      <c r="AU169" s="26"/>
      <c r="AV169" s="26"/>
      <c r="AW169" s="26"/>
      <c r="AX169" s="26"/>
      <c r="AY169" s="26"/>
      <c r="AZ169" s="26"/>
    </row>
    <row r="170" spans="1:60" s="101" customFormat="1" x14ac:dyDescent="0.5">
      <c r="A170" s="26"/>
      <c r="B170" s="26"/>
      <c r="C170" s="26" t="s">
        <v>147</v>
      </c>
      <c r="D170" s="26"/>
      <c r="E170" s="26"/>
      <c r="F170" s="26"/>
      <c r="G170" s="26"/>
      <c r="H170" s="157"/>
      <c r="I170" s="26"/>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E170" s="157"/>
      <c r="AF170" s="157"/>
      <c r="AG170" s="157"/>
      <c r="AH170" s="157"/>
      <c r="AI170" s="157"/>
      <c r="AJ170" s="157"/>
      <c r="AK170" s="157"/>
      <c r="AL170" s="157"/>
      <c r="AM170" s="157"/>
      <c r="AN170" s="26"/>
      <c r="AO170" s="26"/>
      <c r="AP170" s="26"/>
      <c r="AQ170" s="26"/>
      <c r="AR170" s="26"/>
      <c r="AS170" s="26"/>
      <c r="AT170" s="26"/>
      <c r="AU170" s="26"/>
      <c r="AV170" s="26"/>
      <c r="AW170" s="26"/>
      <c r="AX170" s="26"/>
      <c r="AY170" s="26"/>
      <c r="AZ170" s="26"/>
    </row>
    <row r="171" spans="1:60" s="101" customFormat="1" x14ac:dyDescent="0.5">
      <c r="A171" s="26"/>
      <c r="B171" s="26"/>
      <c r="C171" s="26"/>
      <c r="D171" s="26"/>
      <c r="E171" s="26"/>
      <c r="F171" s="26"/>
      <c r="G171" s="26"/>
      <c r="H171" s="157"/>
      <c r="I171" s="26"/>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E171" s="157"/>
      <c r="AF171" s="157"/>
      <c r="AG171" s="157"/>
      <c r="AH171" s="157"/>
      <c r="AI171" s="157"/>
      <c r="AJ171" s="157"/>
      <c r="AK171" s="157"/>
      <c r="AL171" s="157"/>
      <c r="AM171" s="157"/>
      <c r="AN171" s="26"/>
      <c r="AO171" s="26"/>
      <c r="AP171" s="26"/>
      <c r="AQ171" s="26"/>
      <c r="AR171" s="26"/>
      <c r="AS171" s="26"/>
      <c r="AT171" s="26"/>
      <c r="AU171" s="26"/>
      <c r="AV171" s="26"/>
      <c r="AW171" s="26"/>
      <c r="AX171" s="26"/>
      <c r="AY171" s="26"/>
      <c r="AZ171" s="26"/>
    </row>
    <row r="172" spans="1:60" s="101" customFormat="1" x14ac:dyDescent="0.5">
      <c r="A172" s="26"/>
      <c r="B172" s="26"/>
      <c r="C172" s="25" t="s">
        <v>95</v>
      </c>
      <c r="D172" s="25" t="s">
        <v>35</v>
      </c>
      <c r="E172" s="26"/>
      <c r="F172" s="26"/>
      <c r="G172" s="26"/>
      <c r="H172" s="157"/>
      <c r="I172" s="26"/>
      <c r="J172" s="105">
        <f t="shared" ref="J172:AM172" si="88">INDEX(STPvolumes,MATCH($C172,volumesnames,0),MATCH(J$7,years,0))</f>
        <v>0</v>
      </c>
      <c r="K172" s="105">
        <f t="shared" si="88"/>
        <v>0</v>
      </c>
      <c r="L172" s="105">
        <f t="shared" si="88"/>
        <v>0</v>
      </c>
      <c r="M172" s="105">
        <f t="shared" si="88"/>
        <v>0</v>
      </c>
      <c r="N172" s="105">
        <f t="shared" si="88"/>
        <v>0</v>
      </c>
      <c r="O172" s="105">
        <f t="shared" si="88"/>
        <v>0</v>
      </c>
      <c r="P172" s="105">
        <f t="shared" si="88"/>
        <v>0</v>
      </c>
      <c r="Q172" s="105">
        <f t="shared" si="88"/>
        <v>0</v>
      </c>
      <c r="R172" s="105">
        <f t="shared" si="88"/>
        <v>0</v>
      </c>
      <c r="S172" s="105">
        <f t="shared" si="88"/>
        <v>0</v>
      </c>
      <c r="T172" s="105">
        <f t="shared" si="88"/>
        <v>0</v>
      </c>
      <c r="U172" s="105">
        <f t="shared" si="88"/>
        <v>0</v>
      </c>
      <c r="V172" s="105">
        <f t="shared" si="88"/>
        <v>0</v>
      </c>
      <c r="W172" s="105">
        <f t="shared" si="88"/>
        <v>0</v>
      </c>
      <c r="X172" s="105">
        <f t="shared" si="88"/>
        <v>0</v>
      </c>
      <c r="Y172" s="105">
        <f t="shared" si="88"/>
        <v>0</v>
      </c>
      <c r="Z172" s="105">
        <f t="shared" si="88"/>
        <v>0</v>
      </c>
      <c r="AA172" s="105">
        <f t="shared" si="88"/>
        <v>0</v>
      </c>
      <c r="AB172" s="105">
        <f t="shared" si="88"/>
        <v>0</v>
      </c>
      <c r="AC172" s="105">
        <f t="shared" si="88"/>
        <v>0</v>
      </c>
      <c r="AD172" s="105">
        <f t="shared" si="88"/>
        <v>0</v>
      </c>
      <c r="AE172" s="105">
        <f t="shared" si="88"/>
        <v>0</v>
      </c>
      <c r="AF172" s="105">
        <f t="shared" si="88"/>
        <v>0</v>
      </c>
      <c r="AG172" s="105">
        <f t="shared" si="88"/>
        <v>0</v>
      </c>
      <c r="AH172" s="105">
        <f t="shared" si="88"/>
        <v>0</v>
      </c>
      <c r="AI172" s="105">
        <f t="shared" si="88"/>
        <v>0</v>
      </c>
      <c r="AJ172" s="105">
        <f t="shared" si="88"/>
        <v>0</v>
      </c>
      <c r="AK172" s="105">
        <f t="shared" si="88"/>
        <v>0</v>
      </c>
      <c r="AL172" s="105">
        <f t="shared" si="88"/>
        <v>0</v>
      </c>
      <c r="AM172" s="105">
        <f t="shared" si="88"/>
        <v>0</v>
      </c>
      <c r="AN172" s="26"/>
      <c r="AO172" s="26"/>
      <c r="AP172" s="26"/>
      <c r="AQ172" s="26"/>
      <c r="AR172" s="26"/>
      <c r="AS172" s="26"/>
      <c r="AT172" s="26"/>
      <c r="AU172" s="26"/>
      <c r="AV172" s="26"/>
      <c r="AW172" s="26"/>
      <c r="AX172" s="26"/>
      <c r="AY172" s="26"/>
      <c r="AZ172" s="26"/>
    </row>
    <row r="173" spans="1:60" s="101" customFormat="1" x14ac:dyDescent="0.5">
      <c r="A173" s="26"/>
      <c r="B173" s="26"/>
      <c r="C173" s="25" t="s">
        <v>148</v>
      </c>
      <c r="D173" s="25" t="s">
        <v>150</v>
      </c>
      <c r="E173" s="26"/>
      <c r="F173" s="26"/>
      <c r="G173" s="26"/>
      <c r="H173" s="157"/>
      <c r="I173" s="26"/>
      <c r="J173" s="105">
        <f t="shared" ref="J173:AM173" si="89">INDEX(STPexistingcost,MATCH(J$7,years,0))</f>
        <v>0</v>
      </c>
      <c r="K173" s="105">
        <f t="shared" si="89"/>
        <v>0</v>
      </c>
      <c r="L173" s="105">
        <f t="shared" si="89"/>
        <v>0</v>
      </c>
      <c r="M173" s="105">
        <f t="shared" si="89"/>
        <v>0</v>
      </c>
      <c r="N173" s="105">
        <f t="shared" si="89"/>
        <v>0</v>
      </c>
      <c r="O173" s="105">
        <f t="shared" si="89"/>
        <v>0</v>
      </c>
      <c r="P173" s="105">
        <f t="shared" si="89"/>
        <v>0</v>
      </c>
      <c r="Q173" s="105">
        <f t="shared" si="89"/>
        <v>0</v>
      </c>
      <c r="R173" s="105">
        <f t="shared" si="89"/>
        <v>0</v>
      </c>
      <c r="S173" s="105">
        <f t="shared" si="89"/>
        <v>0</v>
      </c>
      <c r="T173" s="105">
        <f t="shared" si="89"/>
        <v>0</v>
      </c>
      <c r="U173" s="105">
        <f t="shared" si="89"/>
        <v>0</v>
      </c>
      <c r="V173" s="105">
        <f t="shared" si="89"/>
        <v>0</v>
      </c>
      <c r="W173" s="105">
        <f t="shared" si="89"/>
        <v>0</v>
      </c>
      <c r="X173" s="105">
        <f t="shared" si="89"/>
        <v>0</v>
      </c>
      <c r="Y173" s="105">
        <f t="shared" si="89"/>
        <v>0</v>
      </c>
      <c r="Z173" s="105">
        <f t="shared" si="89"/>
        <v>0</v>
      </c>
      <c r="AA173" s="105">
        <f t="shared" si="89"/>
        <v>0</v>
      </c>
      <c r="AB173" s="105">
        <f t="shared" si="89"/>
        <v>0</v>
      </c>
      <c r="AC173" s="105">
        <f t="shared" si="89"/>
        <v>0</v>
      </c>
      <c r="AD173" s="105">
        <f t="shared" si="89"/>
        <v>0</v>
      </c>
      <c r="AE173" s="105">
        <f t="shared" si="89"/>
        <v>0</v>
      </c>
      <c r="AF173" s="105">
        <f t="shared" si="89"/>
        <v>0</v>
      </c>
      <c r="AG173" s="105">
        <f t="shared" si="89"/>
        <v>0</v>
      </c>
      <c r="AH173" s="105">
        <f t="shared" si="89"/>
        <v>0</v>
      </c>
      <c r="AI173" s="105">
        <f t="shared" si="89"/>
        <v>0</v>
      </c>
      <c r="AJ173" s="105">
        <f t="shared" si="89"/>
        <v>0</v>
      </c>
      <c r="AK173" s="105">
        <f t="shared" si="89"/>
        <v>0</v>
      </c>
      <c r="AL173" s="105">
        <f t="shared" si="89"/>
        <v>0</v>
      </c>
      <c r="AM173" s="105">
        <f t="shared" si="89"/>
        <v>0</v>
      </c>
      <c r="AN173" s="26"/>
      <c r="AO173" s="26"/>
      <c r="AP173" s="26"/>
      <c r="AQ173" s="26"/>
      <c r="AR173" s="26"/>
      <c r="AS173" s="26"/>
      <c r="AT173" s="26"/>
      <c r="AU173" s="26"/>
      <c r="AV173" s="26"/>
      <c r="AW173" s="26"/>
      <c r="AX173" s="26"/>
      <c r="AY173" s="26"/>
      <c r="AZ173" s="26"/>
    </row>
    <row r="174" spans="1:60" s="101" customFormat="1" x14ac:dyDescent="0.5">
      <c r="A174" s="26"/>
      <c r="B174" s="26"/>
      <c r="C174" s="26" t="s">
        <v>149</v>
      </c>
      <c r="D174" s="26" t="s">
        <v>150</v>
      </c>
      <c r="E174" s="26"/>
      <c r="F174" s="26"/>
      <c r="G174" s="26"/>
      <c r="H174" s="105">
        <f>J174+NPV(discountrate,K174:AM174)</f>
        <v>0</v>
      </c>
      <c r="I174" s="26"/>
      <c r="J174" s="105">
        <f>J172*J173</f>
        <v>0</v>
      </c>
      <c r="K174" s="105">
        <f t="shared" ref="K174:AM174" si="90">K172*K173</f>
        <v>0</v>
      </c>
      <c r="L174" s="105">
        <f t="shared" si="90"/>
        <v>0</v>
      </c>
      <c r="M174" s="105">
        <f t="shared" si="90"/>
        <v>0</v>
      </c>
      <c r="N174" s="105">
        <f t="shared" si="90"/>
        <v>0</v>
      </c>
      <c r="O174" s="105">
        <f t="shared" si="90"/>
        <v>0</v>
      </c>
      <c r="P174" s="105">
        <f t="shared" si="90"/>
        <v>0</v>
      </c>
      <c r="Q174" s="105">
        <f t="shared" si="90"/>
        <v>0</v>
      </c>
      <c r="R174" s="105">
        <f t="shared" si="90"/>
        <v>0</v>
      </c>
      <c r="S174" s="105">
        <f t="shared" si="90"/>
        <v>0</v>
      </c>
      <c r="T174" s="105">
        <f t="shared" si="90"/>
        <v>0</v>
      </c>
      <c r="U174" s="105">
        <f t="shared" si="90"/>
        <v>0</v>
      </c>
      <c r="V174" s="105">
        <f t="shared" si="90"/>
        <v>0</v>
      </c>
      <c r="W174" s="105">
        <f t="shared" si="90"/>
        <v>0</v>
      </c>
      <c r="X174" s="105">
        <f t="shared" si="90"/>
        <v>0</v>
      </c>
      <c r="Y174" s="105">
        <f t="shared" si="90"/>
        <v>0</v>
      </c>
      <c r="Z174" s="105">
        <f t="shared" si="90"/>
        <v>0</v>
      </c>
      <c r="AA174" s="105">
        <f t="shared" si="90"/>
        <v>0</v>
      </c>
      <c r="AB174" s="105">
        <f t="shared" si="90"/>
        <v>0</v>
      </c>
      <c r="AC174" s="105">
        <f t="shared" si="90"/>
        <v>0</v>
      </c>
      <c r="AD174" s="105">
        <f t="shared" si="90"/>
        <v>0</v>
      </c>
      <c r="AE174" s="105">
        <f t="shared" si="90"/>
        <v>0</v>
      </c>
      <c r="AF174" s="105">
        <f t="shared" si="90"/>
        <v>0</v>
      </c>
      <c r="AG174" s="105">
        <f t="shared" si="90"/>
        <v>0</v>
      </c>
      <c r="AH174" s="105">
        <f t="shared" si="90"/>
        <v>0</v>
      </c>
      <c r="AI174" s="105">
        <f t="shared" si="90"/>
        <v>0</v>
      </c>
      <c r="AJ174" s="105">
        <f t="shared" si="90"/>
        <v>0</v>
      </c>
      <c r="AK174" s="105">
        <f t="shared" si="90"/>
        <v>0</v>
      </c>
      <c r="AL174" s="105">
        <f t="shared" si="90"/>
        <v>0</v>
      </c>
      <c r="AM174" s="105">
        <f t="shared" si="90"/>
        <v>0</v>
      </c>
      <c r="AN174" s="26"/>
      <c r="AO174" s="26"/>
      <c r="AP174" s="26"/>
      <c r="AQ174" s="26"/>
      <c r="AR174" s="26"/>
      <c r="AS174" s="26"/>
      <c r="AT174" s="26"/>
      <c r="AU174" s="26"/>
      <c r="AV174" s="26"/>
      <c r="AW174" s="26"/>
      <c r="AX174" s="26"/>
      <c r="AY174" s="26"/>
      <c r="AZ174" s="26"/>
    </row>
    <row r="175" spans="1:60" x14ac:dyDescent="0.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row>
    <row r="176" spans="1:60" ht="33" customHeight="1" thickBot="1" x14ac:dyDescent="1">
      <c r="A176" s="24"/>
      <c r="B176" s="25"/>
      <c r="C176" s="205" t="s">
        <v>38</v>
      </c>
      <c r="D176" s="200"/>
      <c r="E176" s="200"/>
      <c r="F176" s="200"/>
      <c r="G176" s="200"/>
      <c r="H176" s="200"/>
      <c r="I176" s="200"/>
      <c r="J176" s="200"/>
      <c r="K176" s="200"/>
      <c r="L176" s="200"/>
      <c r="M176" s="200"/>
      <c r="N176" s="200"/>
      <c r="O176" s="200"/>
      <c r="P176" s="200"/>
      <c r="Q176" s="200"/>
      <c r="R176" s="200"/>
      <c r="S176" s="200"/>
      <c r="T176" s="200"/>
      <c r="U176" s="200"/>
      <c r="V176" s="200"/>
      <c r="W176" s="200"/>
      <c r="X176" s="200"/>
      <c r="Y176" s="200"/>
      <c r="Z176" s="200"/>
      <c r="AA176" s="200"/>
      <c r="AB176" s="200"/>
      <c r="AC176" s="200"/>
      <c r="AD176" s="200"/>
      <c r="AE176" s="200"/>
      <c r="AF176" s="200"/>
      <c r="AG176" s="200"/>
      <c r="AH176" s="200"/>
      <c r="AI176" s="200"/>
      <c r="AJ176" s="200"/>
      <c r="AK176" s="200"/>
      <c r="AL176" s="200"/>
      <c r="AM176" s="200"/>
      <c r="AN176" s="200"/>
      <c r="AO176" s="213"/>
      <c r="AP176" s="214"/>
      <c r="AQ176" s="214"/>
      <c r="AR176" s="214"/>
      <c r="AS176" s="214"/>
      <c r="AT176" s="214"/>
      <c r="AU176" s="214"/>
      <c r="AV176" s="214"/>
      <c r="AW176" s="214"/>
      <c r="AX176" s="214"/>
      <c r="AY176" s="214"/>
      <c r="AZ176" s="214"/>
    </row>
    <row r="177" spans="1:60" ht="31.5" x14ac:dyDescent="0.85">
      <c r="A177" s="25"/>
      <c r="B177" s="94"/>
      <c r="C177" s="94"/>
      <c r="D177" s="94"/>
      <c r="E177" s="94"/>
      <c r="F177" s="95"/>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row>
    <row r="178" spans="1:60" x14ac:dyDescent="0.5">
      <c r="A178" s="25"/>
      <c r="B178" s="25"/>
      <c r="C178" s="102" t="s">
        <v>28</v>
      </c>
      <c r="D178" s="25"/>
      <c r="E178" s="25"/>
      <c r="F178" s="25"/>
      <c r="G178" s="25"/>
      <c r="H178" s="104">
        <f>(H218-H196)</f>
        <v>0</v>
      </c>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row>
    <row r="179" spans="1:60" x14ac:dyDescent="0.5">
      <c r="A179" s="25"/>
      <c r="B179" s="25"/>
      <c r="C179" s="102" t="s">
        <v>29</v>
      </c>
      <c r="D179" s="25"/>
      <c r="E179" s="25"/>
      <c r="F179" s="25"/>
      <c r="G179" s="25"/>
      <c r="H179" s="104">
        <f>(H214-H192)*1000000</f>
        <v>0</v>
      </c>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row>
    <row r="180" spans="1:60" x14ac:dyDescent="0.5">
      <c r="A180" s="25"/>
      <c r="B180" s="25"/>
      <c r="C180" s="103" t="s">
        <v>27</v>
      </c>
      <c r="D180" s="103" t="s">
        <v>114</v>
      </c>
      <c r="E180" s="26"/>
      <c r="F180" s="25"/>
      <c r="G180" s="25"/>
      <c r="H180" s="105" t="e">
        <f>H178/H179</f>
        <v>#DIV/0!</v>
      </c>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row>
    <row r="181" spans="1:60" x14ac:dyDescent="0.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row>
    <row r="182" spans="1:60" ht="19.5" x14ac:dyDescent="0.55000000000000004">
      <c r="A182" s="25"/>
      <c r="C182" s="97" t="s">
        <v>94</v>
      </c>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row>
    <row r="183" spans="1:60" x14ac:dyDescent="0.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row>
    <row r="184" spans="1:60" x14ac:dyDescent="0.5">
      <c r="A184" s="25"/>
      <c r="B184" s="25"/>
      <c r="C184" s="98" t="s">
        <v>21</v>
      </c>
      <c r="D184" s="99"/>
      <c r="E184" s="99"/>
      <c r="F184" s="25"/>
      <c r="G184" s="25"/>
      <c r="H184" s="99"/>
      <c r="I184" s="25"/>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25"/>
      <c r="AG184" s="25"/>
      <c r="AH184" s="25"/>
      <c r="AI184" s="25"/>
      <c r="AJ184" s="25"/>
      <c r="AK184" s="25"/>
      <c r="AL184" s="25"/>
      <c r="AM184" s="25"/>
      <c r="AN184" s="25"/>
      <c r="AO184" s="25"/>
      <c r="AP184" s="25"/>
      <c r="AQ184" s="25"/>
      <c r="AR184" s="25"/>
      <c r="AS184" s="25"/>
      <c r="AT184" s="25"/>
      <c r="AU184" s="25"/>
      <c r="AV184" s="25"/>
      <c r="AW184" s="25"/>
      <c r="AX184" s="25"/>
      <c r="AY184" s="25"/>
      <c r="AZ184" s="25"/>
    </row>
    <row r="185" spans="1:60" x14ac:dyDescent="0.5">
      <c r="A185" s="25"/>
      <c r="B185" s="25"/>
      <c r="C185" s="98" t="s">
        <v>18</v>
      </c>
      <c r="D185" s="98"/>
      <c r="E185" s="98"/>
      <c r="F185" s="25"/>
      <c r="G185" s="25"/>
      <c r="H185" s="99"/>
      <c r="I185" s="25"/>
      <c r="J185" s="107">
        <f t="shared" ref="J185:AM185" si="91">IF(J192&lt;INDEX(tippingpoints,MATCH($B121,tippingpointnames,0),1),0,1)</f>
        <v>1</v>
      </c>
      <c r="K185" s="107">
        <f t="shared" si="91"/>
        <v>1</v>
      </c>
      <c r="L185" s="107">
        <f t="shared" si="91"/>
        <v>1</v>
      </c>
      <c r="M185" s="107">
        <f t="shared" si="91"/>
        <v>1</v>
      </c>
      <c r="N185" s="107">
        <f t="shared" si="91"/>
        <v>1</v>
      </c>
      <c r="O185" s="107">
        <f t="shared" si="91"/>
        <v>1</v>
      </c>
      <c r="P185" s="107">
        <f t="shared" si="91"/>
        <v>1</v>
      </c>
      <c r="Q185" s="107">
        <f t="shared" si="91"/>
        <v>1</v>
      </c>
      <c r="R185" s="107">
        <f t="shared" si="91"/>
        <v>1</v>
      </c>
      <c r="S185" s="107">
        <f t="shared" si="91"/>
        <v>1</v>
      </c>
      <c r="T185" s="107">
        <f t="shared" si="91"/>
        <v>1</v>
      </c>
      <c r="U185" s="107">
        <f t="shared" si="91"/>
        <v>1</v>
      </c>
      <c r="V185" s="107">
        <f t="shared" si="91"/>
        <v>1</v>
      </c>
      <c r="W185" s="107">
        <f t="shared" si="91"/>
        <v>1</v>
      </c>
      <c r="X185" s="107">
        <f t="shared" si="91"/>
        <v>1</v>
      </c>
      <c r="Y185" s="107">
        <f t="shared" si="91"/>
        <v>1</v>
      </c>
      <c r="Z185" s="107">
        <f t="shared" si="91"/>
        <v>1</v>
      </c>
      <c r="AA185" s="107">
        <f t="shared" si="91"/>
        <v>1</v>
      </c>
      <c r="AB185" s="107">
        <f t="shared" si="91"/>
        <v>1</v>
      </c>
      <c r="AC185" s="107">
        <f t="shared" si="91"/>
        <v>1</v>
      </c>
      <c r="AD185" s="107">
        <f t="shared" si="91"/>
        <v>1</v>
      </c>
      <c r="AE185" s="107">
        <f t="shared" si="91"/>
        <v>1</v>
      </c>
      <c r="AF185" s="107">
        <f t="shared" si="91"/>
        <v>1</v>
      </c>
      <c r="AG185" s="107">
        <f t="shared" si="91"/>
        <v>1</v>
      </c>
      <c r="AH185" s="107">
        <f t="shared" si="91"/>
        <v>1</v>
      </c>
      <c r="AI185" s="107">
        <f t="shared" si="91"/>
        <v>1</v>
      </c>
      <c r="AJ185" s="107">
        <f t="shared" si="91"/>
        <v>1</v>
      </c>
      <c r="AK185" s="107">
        <f t="shared" si="91"/>
        <v>1</v>
      </c>
      <c r="AL185" s="107">
        <f t="shared" si="91"/>
        <v>1</v>
      </c>
      <c r="AM185" s="107">
        <f t="shared" si="91"/>
        <v>1</v>
      </c>
      <c r="AN185" s="25"/>
      <c r="AO185" s="25"/>
      <c r="AP185" s="25"/>
      <c r="AQ185" s="25"/>
      <c r="AR185" s="25"/>
      <c r="AS185" s="25"/>
      <c r="AT185" s="25"/>
      <c r="AU185" s="25"/>
      <c r="AV185" s="25"/>
      <c r="AW185" s="25"/>
      <c r="AX185" s="25"/>
      <c r="AY185" s="25"/>
      <c r="AZ185" s="25"/>
    </row>
    <row r="186" spans="1:60" x14ac:dyDescent="0.5">
      <c r="A186" s="25"/>
      <c r="B186" s="25"/>
      <c r="C186" s="98" t="s">
        <v>19</v>
      </c>
      <c r="D186" s="98"/>
      <c r="E186" s="98"/>
      <c r="F186" s="25"/>
      <c r="G186" s="25"/>
      <c r="H186" s="99"/>
      <c r="I186" s="25"/>
      <c r="J186" s="109">
        <f>IF(SUM($J185:J185)=0,0,1)</f>
        <v>1</v>
      </c>
      <c r="K186" s="109">
        <f>IF(SUM($J185:K185)=0,0,1)</f>
        <v>1</v>
      </c>
      <c r="L186" s="109">
        <f>IF(SUM($J185:L185)=0,0,1)</f>
        <v>1</v>
      </c>
      <c r="M186" s="109">
        <f>IF(SUM($J185:M185)=0,0,1)</f>
        <v>1</v>
      </c>
      <c r="N186" s="109">
        <f>IF(SUM($J185:N185)=0,0,1)</f>
        <v>1</v>
      </c>
      <c r="O186" s="109">
        <f>IF(SUM($J185:O185)=0,0,1)</f>
        <v>1</v>
      </c>
      <c r="P186" s="109">
        <f>IF(SUM($J185:P185)=0,0,1)</f>
        <v>1</v>
      </c>
      <c r="Q186" s="109">
        <f>IF(SUM($J185:Q185)=0,0,1)</f>
        <v>1</v>
      </c>
      <c r="R186" s="109">
        <f>IF(SUM($J185:R185)=0,0,1)</f>
        <v>1</v>
      </c>
      <c r="S186" s="109">
        <f>IF(SUM($J185:S185)=0,0,1)</f>
        <v>1</v>
      </c>
      <c r="T186" s="109">
        <f>IF(SUM($J185:T185)=0,0,1)</f>
        <v>1</v>
      </c>
      <c r="U186" s="109">
        <f>IF(SUM($J185:U185)=0,0,1)</f>
        <v>1</v>
      </c>
      <c r="V186" s="109">
        <f>IF(SUM($J185:V185)=0,0,1)</f>
        <v>1</v>
      </c>
      <c r="W186" s="109">
        <f>IF(SUM($J185:W185)=0,0,1)</f>
        <v>1</v>
      </c>
      <c r="X186" s="109">
        <f>IF(SUM($J185:X185)=0,0,1)</f>
        <v>1</v>
      </c>
      <c r="Y186" s="109">
        <f>IF(SUM($J185:Y185)=0,0,1)</f>
        <v>1</v>
      </c>
      <c r="Z186" s="109">
        <f>IF(SUM($J185:Z185)=0,0,1)</f>
        <v>1</v>
      </c>
      <c r="AA186" s="109">
        <f>IF(SUM($J185:AA185)=0,0,1)</f>
        <v>1</v>
      </c>
      <c r="AB186" s="109">
        <f>IF(SUM($J185:AB185)=0,0,1)</f>
        <v>1</v>
      </c>
      <c r="AC186" s="109">
        <f>IF(SUM($J185:AC185)=0,0,1)</f>
        <v>1</v>
      </c>
      <c r="AD186" s="109">
        <f>IF(SUM($J185:AD185)=0,0,1)</f>
        <v>1</v>
      </c>
      <c r="AE186" s="109">
        <f>IF(SUM($J185:AE185)=0,0,1)</f>
        <v>1</v>
      </c>
      <c r="AF186" s="109">
        <f>IF(SUM($J185:AF185)=0,0,1)</f>
        <v>1</v>
      </c>
      <c r="AG186" s="109">
        <f>IF(SUM($J185:AG185)=0,0,1)</f>
        <v>1</v>
      </c>
      <c r="AH186" s="109">
        <f>IF(SUM($J185:AH185)=0,0,1)</f>
        <v>1</v>
      </c>
      <c r="AI186" s="109">
        <f>IF(SUM($J185:AI185)=0,0,1)</f>
        <v>1</v>
      </c>
      <c r="AJ186" s="109">
        <f>IF(SUM($J185:AJ185)=0,0,1)</f>
        <v>1</v>
      </c>
      <c r="AK186" s="109">
        <f>IF(SUM($J185:AK185)=0,0,1)</f>
        <v>1</v>
      </c>
      <c r="AL186" s="109">
        <f>IF(SUM($J185:AL185)=0,0,1)</f>
        <v>1</v>
      </c>
      <c r="AM186" s="109">
        <f>IF(SUM($J185:AM185)=0,0,1)</f>
        <v>1</v>
      </c>
      <c r="AN186" s="25"/>
      <c r="AO186" s="25"/>
      <c r="AP186" s="25"/>
      <c r="AQ186" s="25"/>
      <c r="AR186" s="25"/>
      <c r="AS186" s="25"/>
      <c r="AT186" s="25"/>
      <c r="AU186" s="25"/>
      <c r="AV186" s="25"/>
      <c r="AW186" s="25"/>
      <c r="AX186" s="25"/>
      <c r="AY186" s="25"/>
      <c r="AZ186" s="25"/>
    </row>
    <row r="187" spans="1:60" x14ac:dyDescent="0.5">
      <c r="A187" s="25"/>
      <c r="B187" s="25"/>
      <c r="C187" s="98" t="s">
        <v>20</v>
      </c>
      <c r="D187" s="98"/>
      <c r="E187" s="98"/>
      <c r="F187" s="25"/>
      <c r="G187" s="25"/>
      <c r="H187" s="99"/>
      <c r="I187" s="25"/>
      <c r="J187" s="109">
        <f>IF($AM186=0,0,IF(AND(J186=0,J185=0),K187-1,0))</f>
        <v>0</v>
      </c>
      <c r="K187" s="109">
        <f t="shared" ref="K187:AM187" si="92">IF($AM186=0,0,IF(AND(K186=0,K185=0),L187-1,0))</f>
        <v>0</v>
      </c>
      <c r="L187" s="109">
        <f t="shared" si="92"/>
        <v>0</v>
      </c>
      <c r="M187" s="109">
        <f t="shared" si="92"/>
        <v>0</v>
      </c>
      <c r="N187" s="109">
        <f t="shared" si="92"/>
        <v>0</v>
      </c>
      <c r="O187" s="109">
        <f t="shared" si="92"/>
        <v>0</v>
      </c>
      <c r="P187" s="109">
        <f t="shared" si="92"/>
        <v>0</v>
      </c>
      <c r="Q187" s="109">
        <f t="shared" si="92"/>
        <v>0</v>
      </c>
      <c r="R187" s="109">
        <f t="shared" si="92"/>
        <v>0</v>
      </c>
      <c r="S187" s="109">
        <f t="shared" si="92"/>
        <v>0</v>
      </c>
      <c r="T187" s="109">
        <f t="shared" si="92"/>
        <v>0</v>
      </c>
      <c r="U187" s="109">
        <f t="shared" si="92"/>
        <v>0</v>
      </c>
      <c r="V187" s="109">
        <f t="shared" si="92"/>
        <v>0</v>
      </c>
      <c r="W187" s="109">
        <f t="shared" si="92"/>
        <v>0</v>
      </c>
      <c r="X187" s="109">
        <f t="shared" si="92"/>
        <v>0</v>
      </c>
      <c r="Y187" s="109">
        <f t="shared" si="92"/>
        <v>0</v>
      </c>
      <c r="Z187" s="109">
        <f t="shared" si="92"/>
        <v>0</v>
      </c>
      <c r="AA187" s="109">
        <f t="shared" si="92"/>
        <v>0</v>
      </c>
      <c r="AB187" s="109">
        <f t="shared" si="92"/>
        <v>0</v>
      </c>
      <c r="AC187" s="109">
        <f t="shared" si="92"/>
        <v>0</v>
      </c>
      <c r="AD187" s="109">
        <f t="shared" si="92"/>
        <v>0</v>
      </c>
      <c r="AE187" s="109">
        <f t="shared" si="92"/>
        <v>0</v>
      </c>
      <c r="AF187" s="109">
        <f t="shared" si="92"/>
        <v>0</v>
      </c>
      <c r="AG187" s="109">
        <f t="shared" si="92"/>
        <v>0</v>
      </c>
      <c r="AH187" s="109">
        <f t="shared" si="92"/>
        <v>0</v>
      </c>
      <c r="AI187" s="109">
        <f t="shared" si="92"/>
        <v>0</v>
      </c>
      <c r="AJ187" s="109">
        <f t="shared" si="92"/>
        <v>0</v>
      </c>
      <c r="AK187" s="109">
        <f t="shared" si="92"/>
        <v>0</v>
      </c>
      <c r="AL187" s="109">
        <f t="shared" si="92"/>
        <v>0</v>
      </c>
      <c r="AM187" s="109">
        <f t="shared" si="92"/>
        <v>0</v>
      </c>
      <c r="AN187" s="25"/>
      <c r="AO187" s="25"/>
      <c r="AP187" s="25"/>
      <c r="AQ187" s="25"/>
      <c r="AR187" s="25"/>
      <c r="AS187" s="25"/>
      <c r="AT187" s="25"/>
      <c r="AU187" s="25"/>
      <c r="AV187" s="25"/>
      <c r="AW187" s="25"/>
      <c r="AX187" s="25"/>
      <c r="AY187" s="25"/>
      <c r="AZ187" s="25"/>
    </row>
    <row r="188" spans="1:60" x14ac:dyDescent="0.5">
      <c r="A188" s="25"/>
      <c r="B188" s="25"/>
      <c r="C188" s="98" t="s">
        <v>118</v>
      </c>
      <c r="D188" s="98"/>
      <c r="E188" s="98"/>
      <c r="F188" s="108"/>
      <c r="G188" s="98"/>
      <c r="H188" s="99"/>
      <c r="I188" s="99"/>
      <c r="J188" s="109">
        <f t="shared" ref="J188:AM188" si="93">IF(ABS(J187)=INDEX(leadtimes,MATCH($B121,assetnames,0),1),1,0)</f>
        <v>1</v>
      </c>
      <c r="K188" s="109">
        <f t="shared" si="93"/>
        <v>1</v>
      </c>
      <c r="L188" s="109">
        <f t="shared" si="93"/>
        <v>1</v>
      </c>
      <c r="M188" s="109">
        <f t="shared" si="93"/>
        <v>1</v>
      </c>
      <c r="N188" s="109">
        <f t="shared" si="93"/>
        <v>1</v>
      </c>
      <c r="O188" s="109">
        <f t="shared" si="93"/>
        <v>1</v>
      </c>
      <c r="P188" s="109">
        <f t="shared" si="93"/>
        <v>1</v>
      </c>
      <c r="Q188" s="109">
        <f t="shared" si="93"/>
        <v>1</v>
      </c>
      <c r="R188" s="109">
        <f t="shared" si="93"/>
        <v>1</v>
      </c>
      <c r="S188" s="109">
        <f t="shared" si="93"/>
        <v>1</v>
      </c>
      <c r="T188" s="109">
        <f t="shared" si="93"/>
        <v>1</v>
      </c>
      <c r="U188" s="109">
        <f t="shared" si="93"/>
        <v>1</v>
      </c>
      <c r="V188" s="109">
        <f t="shared" si="93"/>
        <v>1</v>
      </c>
      <c r="W188" s="109">
        <f t="shared" si="93"/>
        <v>1</v>
      </c>
      <c r="X188" s="109">
        <f t="shared" si="93"/>
        <v>1</v>
      </c>
      <c r="Y188" s="109">
        <f t="shared" si="93"/>
        <v>1</v>
      </c>
      <c r="Z188" s="109">
        <f t="shared" si="93"/>
        <v>1</v>
      </c>
      <c r="AA188" s="109">
        <f t="shared" si="93"/>
        <v>1</v>
      </c>
      <c r="AB188" s="109">
        <f t="shared" si="93"/>
        <v>1</v>
      </c>
      <c r="AC188" s="109">
        <f t="shared" si="93"/>
        <v>1</v>
      </c>
      <c r="AD188" s="109">
        <f t="shared" si="93"/>
        <v>1</v>
      </c>
      <c r="AE188" s="109">
        <f t="shared" si="93"/>
        <v>1</v>
      </c>
      <c r="AF188" s="109">
        <f t="shared" si="93"/>
        <v>1</v>
      </c>
      <c r="AG188" s="109">
        <f t="shared" si="93"/>
        <v>1</v>
      </c>
      <c r="AH188" s="109">
        <f t="shared" si="93"/>
        <v>1</v>
      </c>
      <c r="AI188" s="109">
        <f t="shared" si="93"/>
        <v>1</v>
      </c>
      <c r="AJ188" s="109">
        <f t="shared" si="93"/>
        <v>1</v>
      </c>
      <c r="AK188" s="109">
        <f t="shared" si="93"/>
        <v>1</v>
      </c>
      <c r="AL188" s="109">
        <f t="shared" si="93"/>
        <v>1</v>
      </c>
      <c r="AM188" s="109">
        <f t="shared" si="93"/>
        <v>1</v>
      </c>
      <c r="AN188" s="109"/>
      <c r="AO188" s="109"/>
      <c r="AP188" s="109"/>
      <c r="AQ188" s="109"/>
      <c r="AR188" s="109"/>
      <c r="AS188" s="109"/>
      <c r="AT188" s="109"/>
      <c r="AU188" s="109"/>
      <c r="AV188" s="109"/>
      <c r="AW188" s="109"/>
      <c r="AX188" s="109"/>
      <c r="AY188" s="109"/>
      <c r="AZ188" s="109"/>
      <c r="BA188" s="109"/>
      <c r="BB188" s="109"/>
      <c r="BC188" s="109"/>
      <c r="BD188" s="109"/>
      <c r="BE188" s="100"/>
      <c r="BF188" s="100"/>
      <c r="BG188" s="100"/>
      <c r="BH188" s="100"/>
    </row>
    <row r="189" spans="1:60" x14ac:dyDescent="0.5">
      <c r="A189" s="25"/>
      <c r="B189" s="25"/>
      <c r="C189" s="98" t="s">
        <v>119</v>
      </c>
      <c r="D189" s="98"/>
      <c r="E189" s="98"/>
      <c r="F189" s="108"/>
      <c r="G189" s="98"/>
      <c r="H189" s="99"/>
      <c r="I189" s="99"/>
      <c r="J189" s="109">
        <f>IF(SUM($J188:J188)=1,1,0)+I189</f>
        <v>1</v>
      </c>
      <c r="K189" s="109">
        <f>IF(SUM($J188:K188)=1,1,0)+J189</f>
        <v>1</v>
      </c>
      <c r="L189" s="109">
        <f>IF(SUM($J188:L188)=1,1,0)+K189</f>
        <v>1</v>
      </c>
      <c r="M189" s="109">
        <f>IF(SUM($J188:M188)=1,1,0)+L189</f>
        <v>1</v>
      </c>
      <c r="N189" s="109">
        <f>IF(SUM($J188:N188)=1,1,0)+M189</f>
        <v>1</v>
      </c>
      <c r="O189" s="109">
        <f>IF(SUM($J188:O188)=1,1,0)+N189</f>
        <v>1</v>
      </c>
      <c r="P189" s="109">
        <f>IF(SUM($J188:P188)=1,1,0)+O189</f>
        <v>1</v>
      </c>
      <c r="Q189" s="109">
        <f>IF(SUM($J188:Q188)=1,1,0)+P189</f>
        <v>1</v>
      </c>
      <c r="R189" s="109">
        <f>IF(SUM($J188:R188)=1,1,0)+Q189</f>
        <v>1</v>
      </c>
      <c r="S189" s="109">
        <f>IF(SUM($J188:S188)=1,1,0)+R189</f>
        <v>1</v>
      </c>
      <c r="T189" s="109">
        <f>IF(SUM($J188:T188)=1,1,0)+S189</f>
        <v>1</v>
      </c>
      <c r="U189" s="109">
        <f>IF(SUM($J188:U188)=1,1,0)+T189</f>
        <v>1</v>
      </c>
      <c r="V189" s="109">
        <f>IF(SUM($J188:V188)=1,1,0)+U189</f>
        <v>1</v>
      </c>
      <c r="W189" s="109">
        <f>IF(SUM($J188:W188)=1,1,0)+V189</f>
        <v>1</v>
      </c>
      <c r="X189" s="109">
        <f>IF(SUM($J188:X188)=1,1,0)+W189</f>
        <v>1</v>
      </c>
      <c r="Y189" s="109">
        <f>IF(SUM($J188:Y188)=1,1,0)+X189</f>
        <v>1</v>
      </c>
      <c r="Z189" s="109">
        <f>IF(SUM($J188:Z188)=1,1,0)+Y189</f>
        <v>1</v>
      </c>
      <c r="AA189" s="109">
        <f>IF(SUM($J188:AA188)=1,1,0)+Z189</f>
        <v>1</v>
      </c>
      <c r="AB189" s="109">
        <f>IF(SUM($J188:AB188)=1,1,0)+AA189</f>
        <v>1</v>
      </c>
      <c r="AC189" s="109">
        <f>IF(SUM($J188:AC188)=1,1,0)+AB189</f>
        <v>1</v>
      </c>
      <c r="AD189" s="109">
        <f>IF(SUM($J188:AD188)=1,1,0)+AC189</f>
        <v>1</v>
      </c>
      <c r="AE189" s="109">
        <f>IF(SUM($J188:AE188)=1,1,0)+AD189</f>
        <v>1</v>
      </c>
      <c r="AF189" s="109">
        <f>IF(SUM($J188:AF188)=1,1,0)+AE189</f>
        <v>1</v>
      </c>
      <c r="AG189" s="109">
        <f>IF(SUM($J188:AG188)=1,1,0)+AF189</f>
        <v>1</v>
      </c>
      <c r="AH189" s="109">
        <f>IF(SUM($J188:AH188)=1,1,0)+AG189</f>
        <v>1</v>
      </c>
      <c r="AI189" s="109">
        <f>IF(SUM($J188:AI188)=1,1,0)+AH189</f>
        <v>1</v>
      </c>
      <c r="AJ189" s="109">
        <f>IF(SUM($J188:AJ188)=1,1,0)+AI189</f>
        <v>1</v>
      </c>
      <c r="AK189" s="109">
        <f>IF(SUM($J188:AK188)=1,1,0)+AJ189</f>
        <v>1</v>
      </c>
      <c r="AL189" s="109">
        <f>IF(SUM($J188:AL188)=1,1,0)+AK189</f>
        <v>1</v>
      </c>
      <c r="AM189" s="109">
        <f>IF(SUM($J188:AM188)=1,1,0)+AL189</f>
        <v>1</v>
      </c>
      <c r="AN189" s="109"/>
      <c r="AO189" s="109"/>
      <c r="AP189" s="109"/>
      <c r="AQ189" s="109"/>
      <c r="AR189" s="109"/>
      <c r="AS189" s="109"/>
      <c r="AT189" s="109"/>
      <c r="AU189" s="109"/>
      <c r="AV189" s="109"/>
      <c r="AW189" s="109"/>
      <c r="AX189" s="109"/>
      <c r="AY189" s="109"/>
      <c r="AZ189" s="109"/>
      <c r="BA189" s="109"/>
      <c r="BB189" s="109"/>
      <c r="BC189" s="109"/>
      <c r="BD189" s="109"/>
      <c r="BE189" s="100"/>
      <c r="BF189" s="100"/>
      <c r="BG189" s="100"/>
      <c r="BH189" s="100"/>
    </row>
    <row r="190" spans="1:60" ht="15.65" customHeight="1" x14ac:dyDescent="0.5">
      <c r="A190" s="25"/>
      <c r="B190" s="25"/>
      <c r="C190" s="98" t="s">
        <v>117</v>
      </c>
      <c r="D190" s="99"/>
      <c r="E190" s="99"/>
      <c r="F190" s="106"/>
      <c r="G190" s="99"/>
      <c r="H190" s="99"/>
      <c r="I190" s="99"/>
      <c r="J190" s="107">
        <f>SUM($J185:J185)</f>
        <v>1</v>
      </c>
      <c r="K190" s="107">
        <f>SUM($J185:K185)</f>
        <v>2</v>
      </c>
      <c r="L190" s="107">
        <f>SUM($J185:L185)</f>
        <v>3</v>
      </c>
      <c r="M190" s="107">
        <f>SUM($J185:M185)</f>
        <v>4</v>
      </c>
      <c r="N190" s="107">
        <f>SUM($J185:N185)</f>
        <v>5</v>
      </c>
      <c r="O190" s="107">
        <f>SUM($J185:O185)</f>
        <v>6</v>
      </c>
      <c r="P190" s="107">
        <f>SUM($J185:P185)</f>
        <v>7</v>
      </c>
      <c r="Q190" s="107">
        <f>SUM($J185:Q185)</f>
        <v>8</v>
      </c>
      <c r="R190" s="107">
        <f>SUM($J185:R185)</f>
        <v>9</v>
      </c>
      <c r="S190" s="107">
        <f>SUM($J185:S185)</f>
        <v>10</v>
      </c>
      <c r="T190" s="107">
        <f>SUM($J185:T185)</f>
        <v>11</v>
      </c>
      <c r="U190" s="107">
        <f>SUM($J185:U185)</f>
        <v>12</v>
      </c>
      <c r="V190" s="107">
        <f>SUM($J185:V185)</f>
        <v>13</v>
      </c>
      <c r="W190" s="107">
        <f>SUM($J185:W185)</f>
        <v>14</v>
      </c>
      <c r="X190" s="107">
        <f>SUM($J185:X185)</f>
        <v>15</v>
      </c>
      <c r="Y190" s="107">
        <f>SUM($J185:Y185)</f>
        <v>16</v>
      </c>
      <c r="Z190" s="107">
        <f>SUM($J185:Z185)</f>
        <v>17</v>
      </c>
      <c r="AA190" s="107">
        <f>SUM($J185:AA185)</f>
        <v>18</v>
      </c>
      <c r="AB190" s="107">
        <f>SUM($J185:AB185)</f>
        <v>19</v>
      </c>
      <c r="AC190" s="107">
        <f>SUM($J185:AC185)</f>
        <v>20</v>
      </c>
      <c r="AD190" s="107">
        <f>SUM($J185:AD185)</f>
        <v>21</v>
      </c>
      <c r="AE190" s="107">
        <f>SUM($J185:AE185)</f>
        <v>22</v>
      </c>
      <c r="AF190" s="107">
        <f>SUM($J185:AF185)</f>
        <v>23</v>
      </c>
      <c r="AG190" s="107">
        <f>SUM($J185:AG185)</f>
        <v>24</v>
      </c>
      <c r="AH190" s="107">
        <f>SUM($J185:AH185)</f>
        <v>25</v>
      </c>
      <c r="AI190" s="107">
        <f>SUM($J185:AI185)</f>
        <v>26</v>
      </c>
      <c r="AJ190" s="107">
        <f>SUM($J185:AJ185)</f>
        <v>27</v>
      </c>
      <c r="AK190" s="107">
        <f>SUM($J185:AK185)</f>
        <v>28</v>
      </c>
      <c r="AL190" s="107">
        <f>SUM($J185:AL185)</f>
        <v>29</v>
      </c>
      <c r="AM190" s="107">
        <f>SUM($J185:AM185)</f>
        <v>30</v>
      </c>
      <c r="AN190" s="107"/>
      <c r="AO190" s="107"/>
      <c r="AP190" s="107"/>
      <c r="AQ190" s="107"/>
      <c r="AR190" s="107"/>
      <c r="AS190" s="107"/>
      <c r="AT190" s="107"/>
      <c r="AU190" s="107"/>
      <c r="AV190" s="107"/>
      <c r="AW190" s="107"/>
      <c r="AX190" s="107"/>
      <c r="AY190" s="107"/>
      <c r="AZ190" s="107"/>
      <c r="BA190" s="107"/>
      <c r="BB190" s="107"/>
      <c r="BC190" s="107"/>
      <c r="BD190" s="107"/>
      <c r="BE190" s="107"/>
      <c r="BF190" s="107"/>
      <c r="BG190" s="107"/>
      <c r="BH190" s="107"/>
    </row>
    <row r="191" spans="1:60" x14ac:dyDescent="0.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row>
    <row r="192" spans="1:60" x14ac:dyDescent="0.5">
      <c r="A192" s="25"/>
      <c r="B192" s="25"/>
      <c r="C192" s="25" t="s">
        <v>94</v>
      </c>
      <c r="D192" s="25" t="s">
        <v>1</v>
      </c>
      <c r="E192" s="25"/>
      <c r="G192" s="25"/>
      <c r="H192" s="105">
        <f>J192+NPV(discountrate,K192:AK192)</f>
        <v>0</v>
      </c>
      <c r="I192" s="25"/>
      <c r="J192" s="105">
        <f t="shared" ref="J192:AM192" si="94">INDEX(STPvolumes,MATCH($C192,volumesnames,0),MATCH(J$7,years,0))</f>
        <v>0</v>
      </c>
      <c r="K192" s="105">
        <f t="shared" si="94"/>
        <v>0</v>
      </c>
      <c r="L192" s="105">
        <f t="shared" si="94"/>
        <v>0</v>
      </c>
      <c r="M192" s="105">
        <f t="shared" si="94"/>
        <v>0</v>
      </c>
      <c r="N192" s="105">
        <f t="shared" si="94"/>
        <v>0</v>
      </c>
      <c r="O192" s="105">
        <f t="shared" si="94"/>
        <v>0</v>
      </c>
      <c r="P192" s="105">
        <f t="shared" si="94"/>
        <v>0</v>
      </c>
      <c r="Q192" s="105">
        <f t="shared" si="94"/>
        <v>0</v>
      </c>
      <c r="R192" s="105">
        <f t="shared" si="94"/>
        <v>0</v>
      </c>
      <c r="S192" s="105">
        <f t="shared" si="94"/>
        <v>0</v>
      </c>
      <c r="T192" s="105">
        <f t="shared" si="94"/>
        <v>0</v>
      </c>
      <c r="U192" s="105">
        <f t="shared" si="94"/>
        <v>0</v>
      </c>
      <c r="V192" s="105">
        <f t="shared" si="94"/>
        <v>0</v>
      </c>
      <c r="W192" s="105">
        <f t="shared" si="94"/>
        <v>0</v>
      </c>
      <c r="X192" s="105">
        <f t="shared" si="94"/>
        <v>0</v>
      </c>
      <c r="Y192" s="105">
        <f t="shared" si="94"/>
        <v>0</v>
      </c>
      <c r="Z192" s="105">
        <f t="shared" si="94"/>
        <v>0</v>
      </c>
      <c r="AA192" s="105">
        <f t="shared" si="94"/>
        <v>0</v>
      </c>
      <c r="AB192" s="105">
        <f t="shared" si="94"/>
        <v>0</v>
      </c>
      <c r="AC192" s="105">
        <f t="shared" si="94"/>
        <v>0</v>
      </c>
      <c r="AD192" s="105">
        <f t="shared" si="94"/>
        <v>0</v>
      </c>
      <c r="AE192" s="105">
        <f t="shared" si="94"/>
        <v>0</v>
      </c>
      <c r="AF192" s="105">
        <f t="shared" si="94"/>
        <v>0</v>
      </c>
      <c r="AG192" s="105">
        <f t="shared" si="94"/>
        <v>0</v>
      </c>
      <c r="AH192" s="105">
        <f t="shared" si="94"/>
        <v>0</v>
      </c>
      <c r="AI192" s="105">
        <f t="shared" si="94"/>
        <v>0</v>
      </c>
      <c r="AJ192" s="105">
        <f t="shared" si="94"/>
        <v>0</v>
      </c>
      <c r="AK192" s="105">
        <f t="shared" si="94"/>
        <v>0</v>
      </c>
      <c r="AL192" s="105">
        <f t="shared" si="94"/>
        <v>0</v>
      </c>
      <c r="AM192" s="105">
        <f t="shared" si="94"/>
        <v>0</v>
      </c>
      <c r="AN192" s="25"/>
      <c r="AO192" s="25"/>
      <c r="AP192" s="25"/>
      <c r="AQ192" s="25"/>
      <c r="AR192" s="25"/>
      <c r="AS192" s="25"/>
      <c r="AT192" s="25"/>
      <c r="AU192" s="25"/>
      <c r="AV192" s="25"/>
      <c r="AW192" s="25"/>
      <c r="AX192" s="25"/>
      <c r="AY192" s="25"/>
      <c r="AZ192" s="25"/>
    </row>
    <row r="193" spans="1:52" x14ac:dyDescent="0.5">
      <c r="A193" s="25"/>
      <c r="B193" s="25"/>
      <c r="C193" s="25" t="s">
        <v>147</v>
      </c>
      <c r="D193" s="25" t="s">
        <v>150</v>
      </c>
      <c r="E193" s="25"/>
      <c r="F193" s="106"/>
      <c r="G193" s="25"/>
      <c r="H193" s="25"/>
      <c r="I193" s="25"/>
      <c r="J193" s="105">
        <f>J202</f>
        <v>0</v>
      </c>
      <c r="K193" s="105">
        <f t="shared" ref="K193:AM193" si="95">K202</f>
        <v>0</v>
      </c>
      <c r="L193" s="105">
        <f t="shared" si="95"/>
        <v>0</v>
      </c>
      <c r="M193" s="105">
        <f t="shared" si="95"/>
        <v>0</v>
      </c>
      <c r="N193" s="105">
        <f t="shared" si="95"/>
        <v>0</v>
      </c>
      <c r="O193" s="105">
        <f t="shared" si="95"/>
        <v>0</v>
      </c>
      <c r="P193" s="105">
        <f t="shared" si="95"/>
        <v>0</v>
      </c>
      <c r="Q193" s="105">
        <f t="shared" si="95"/>
        <v>0</v>
      </c>
      <c r="R193" s="105">
        <f t="shared" si="95"/>
        <v>0</v>
      </c>
      <c r="S193" s="105">
        <f t="shared" si="95"/>
        <v>0</v>
      </c>
      <c r="T193" s="105">
        <f t="shared" si="95"/>
        <v>0</v>
      </c>
      <c r="U193" s="105">
        <f t="shared" si="95"/>
        <v>0</v>
      </c>
      <c r="V193" s="105">
        <f t="shared" si="95"/>
        <v>0</v>
      </c>
      <c r="W193" s="105">
        <f t="shared" si="95"/>
        <v>0</v>
      </c>
      <c r="X193" s="105">
        <f t="shared" si="95"/>
        <v>0</v>
      </c>
      <c r="Y193" s="105">
        <f t="shared" si="95"/>
        <v>0</v>
      </c>
      <c r="Z193" s="105">
        <f t="shared" si="95"/>
        <v>0</v>
      </c>
      <c r="AA193" s="105">
        <f t="shared" si="95"/>
        <v>0</v>
      </c>
      <c r="AB193" s="105">
        <f t="shared" si="95"/>
        <v>0</v>
      </c>
      <c r="AC193" s="105">
        <f t="shared" si="95"/>
        <v>0</v>
      </c>
      <c r="AD193" s="105">
        <f t="shared" si="95"/>
        <v>0</v>
      </c>
      <c r="AE193" s="105">
        <f t="shared" si="95"/>
        <v>0</v>
      </c>
      <c r="AF193" s="105">
        <f t="shared" si="95"/>
        <v>0</v>
      </c>
      <c r="AG193" s="105">
        <f t="shared" si="95"/>
        <v>0</v>
      </c>
      <c r="AH193" s="105">
        <f t="shared" si="95"/>
        <v>0</v>
      </c>
      <c r="AI193" s="105">
        <f t="shared" si="95"/>
        <v>0</v>
      </c>
      <c r="AJ193" s="105">
        <f t="shared" si="95"/>
        <v>0</v>
      </c>
      <c r="AK193" s="105">
        <f t="shared" si="95"/>
        <v>0</v>
      </c>
      <c r="AL193" s="105">
        <f t="shared" si="95"/>
        <v>0</v>
      </c>
      <c r="AM193" s="105">
        <f t="shared" si="95"/>
        <v>0</v>
      </c>
      <c r="AN193" s="25"/>
      <c r="AO193" s="25"/>
      <c r="AP193" s="25"/>
      <c r="AQ193" s="25"/>
      <c r="AR193" s="25"/>
      <c r="AS193" s="25"/>
      <c r="AT193" s="25"/>
      <c r="AU193" s="25"/>
      <c r="AV193" s="25"/>
      <c r="AW193" s="25"/>
      <c r="AX193" s="25"/>
      <c r="AY193" s="25"/>
      <c r="AZ193" s="25"/>
    </row>
    <row r="194" spans="1:52" x14ac:dyDescent="0.5">
      <c r="A194" s="25"/>
      <c r="B194" s="25"/>
      <c r="C194" s="25" t="s">
        <v>23</v>
      </c>
      <c r="D194" s="25" t="s">
        <v>131</v>
      </c>
      <c r="E194" s="25"/>
      <c r="F194" s="106" t="s">
        <v>129</v>
      </c>
      <c r="G194" s="25"/>
      <c r="I194" s="25"/>
      <c r="J194" s="104" cm="1">
        <f t="array" ref="J194">IF(J189=0,0,INDEX(capex,MATCH($B121,assetnames,0),J189))</f>
        <v>0</v>
      </c>
      <c r="K194" s="104" cm="1">
        <f t="array" ref="K194">IF(K189=0,0,INDEX(capex,MATCH($B121,assetnames,0),K189))</f>
        <v>0</v>
      </c>
      <c r="L194" s="104" cm="1">
        <f t="array" ref="L194">IF(L189=0,0,INDEX(capex,MATCH($B121,assetnames,0),L189))</f>
        <v>0</v>
      </c>
      <c r="M194" s="104" cm="1">
        <f t="array" ref="M194">IF(M189=0,0,INDEX(capex,MATCH($B121,assetnames,0),M189))</f>
        <v>0</v>
      </c>
      <c r="N194" s="104" cm="1">
        <f t="array" ref="N194">IF(N189=0,0,INDEX(capex,MATCH($B121,assetnames,0),N189))</f>
        <v>0</v>
      </c>
      <c r="O194" s="104" cm="1">
        <f t="array" ref="O194">IF(O189=0,0,INDEX(capex,MATCH($B121,assetnames,0),O189))</f>
        <v>0</v>
      </c>
      <c r="P194" s="104" cm="1">
        <f t="array" ref="P194">IF(P189=0,0,INDEX(capex,MATCH($B121,assetnames,0),P189))</f>
        <v>0</v>
      </c>
      <c r="Q194" s="104" cm="1">
        <f t="array" ref="Q194">IF(Q189=0,0,INDEX(capex,MATCH($B121,assetnames,0),Q189))</f>
        <v>0</v>
      </c>
      <c r="R194" s="104" cm="1">
        <f t="array" ref="R194">IF(R189=0,0,INDEX(capex,MATCH($B121,assetnames,0),R189))</f>
        <v>0</v>
      </c>
      <c r="S194" s="104" cm="1">
        <f t="array" ref="S194">IF(S189=0,0,INDEX(capex,MATCH($B121,assetnames,0),S189))</f>
        <v>0</v>
      </c>
      <c r="T194" s="104" cm="1">
        <f t="array" ref="T194">IF(T189=0,0,INDEX(capex,MATCH($B121,assetnames,0),T189))</f>
        <v>0</v>
      </c>
      <c r="U194" s="104" cm="1">
        <f t="array" ref="U194">IF(U189=0,0,INDEX(capex,MATCH($B121,assetnames,0),U189))</f>
        <v>0</v>
      </c>
      <c r="V194" s="104" cm="1">
        <f t="array" ref="V194">IF(V189=0,0,INDEX(capex,MATCH($B121,assetnames,0),V189))</f>
        <v>0</v>
      </c>
      <c r="W194" s="104" cm="1">
        <f t="array" ref="W194">IF(W189=0,0,INDEX(capex,MATCH($B121,assetnames,0),W189))</f>
        <v>0</v>
      </c>
      <c r="X194" s="104" cm="1">
        <f t="array" ref="X194">IF(X189=0,0,INDEX(capex,MATCH($B121,assetnames,0),X189))</f>
        <v>0</v>
      </c>
      <c r="Y194" s="104" cm="1">
        <f t="array" ref="Y194">IF(Y189=0,0,INDEX(capex,MATCH($B121,assetnames,0),Y189))</f>
        <v>0</v>
      </c>
      <c r="Z194" s="104" cm="1">
        <f t="array" ref="Z194">IF(Z189=0,0,INDEX(capex,MATCH($B121,assetnames,0),Z189))</f>
        <v>0</v>
      </c>
      <c r="AA194" s="104" cm="1">
        <f t="array" ref="AA194">IF(AA189=0,0,INDEX(capex,MATCH($B121,assetnames,0),AA189))</f>
        <v>0</v>
      </c>
      <c r="AB194" s="104" cm="1">
        <f t="array" ref="AB194">IF(AB189=0,0,INDEX(capex,MATCH($B121,assetnames,0),AB189))</f>
        <v>0</v>
      </c>
      <c r="AC194" s="104" cm="1">
        <f t="array" ref="AC194">IF(AC189=0,0,INDEX(capex,MATCH($B121,assetnames,0),AC189))</f>
        <v>0</v>
      </c>
      <c r="AD194" s="104" cm="1">
        <f t="array" ref="AD194">IF(AD189=0,0,INDEX(capex,MATCH($B121,assetnames,0),AD189))</f>
        <v>0</v>
      </c>
      <c r="AE194" s="104" cm="1">
        <f t="array" ref="AE194">IF(AE189=0,0,INDEX(capex,MATCH($B121,assetnames,0),AE189))</f>
        <v>0</v>
      </c>
      <c r="AF194" s="104" cm="1">
        <f t="array" ref="AF194">IF(AF189=0,0,INDEX(capex,MATCH($B121,assetnames,0),AF189))</f>
        <v>0</v>
      </c>
      <c r="AG194" s="104" cm="1">
        <f t="array" ref="AG194">IF(AG189=0,0,INDEX(capex,MATCH($B121,assetnames,0),AG189))</f>
        <v>0</v>
      </c>
      <c r="AH194" s="104" cm="1">
        <f t="array" ref="AH194">IF(AH189=0,0,INDEX(capex,MATCH($B121,assetnames,0),AH189))</f>
        <v>0</v>
      </c>
      <c r="AI194" s="104" cm="1">
        <f t="array" ref="AI194">IF(AI189=0,0,INDEX(capex,MATCH($B121,assetnames,0),AI189))</f>
        <v>0</v>
      </c>
      <c r="AJ194" s="104" cm="1">
        <f t="array" ref="AJ194">IF(AJ189=0,0,INDEX(capex,MATCH($B121,assetnames,0),AJ189))</f>
        <v>0</v>
      </c>
      <c r="AK194" s="104" cm="1">
        <f t="array" ref="AK194">IF(AK189=0,0,INDEX(capex,MATCH($B121,assetnames,0),AK189))</f>
        <v>0</v>
      </c>
      <c r="AL194" s="104" cm="1">
        <f t="array" ref="AL194">IF(AL189=0,0,INDEX(capex,MATCH($B121,assetnames,0),AL189))</f>
        <v>0</v>
      </c>
      <c r="AM194" s="104" cm="1">
        <f t="array" ref="AM194">IF(AM189=0,0,INDEX(capex,MATCH($B121,assetnames,0),AM189))</f>
        <v>0</v>
      </c>
      <c r="AN194" s="25"/>
      <c r="AO194" s="25"/>
      <c r="AP194" s="25"/>
      <c r="AQ194" s="25"/>
      <c r="AR194" s="25"/>
      <c r="AS194" s="25"/>
      <c r="AT194" s="25"/>
      <c r="AU194" s="25"/>
      <c r="AV194" s="25"/>
      <c r="AW194" s="25"/>
      <c r="AX194" s="25"/>
      <c r="AY194" s="25"/>
      <c r="AZ194" s="25"/>
    </row>
    <row r="195" spans="1:52" x14ac:dyDescent="0.5">
      <c r="A195" s="25"/>
      <c r="B195" s="25"/>
      <c r="C195" s="25" t="s">
        <v>24</v>
      </c>
      <c r="D195" s="25" t="s">
        <v>131</v>
      </c>
      <c r="E195" s="25"/>
      <c r="F195" s="121" t="str">
        <f>IF(H196=0,"",INDEX($J$7:$AM$7,1,MATCH(1,$J188:$AM188,0)))</f>
        <v/>
      </c>
      <c r="G195" s="25"/>
      <c r="H195" s="25"/>
      <c r="I195" s="25"/>
      <c r="J195" s="104">
        <f t="shared" ref="J195:AM195" si="96">IF(J185=1,INDEX(opex,MATCH($B121,assetnames,0),J190),0)</f>
        <v>0</v>
      </c>
      <c r="K195" s="104">
        <f t="shared" si="96"/>
        <v>0</v>
      </c>
      <c r="L195" s="104">
        <f t="shared" si="96"/>
        <v>0</v>
      </c>
      <c r="M195" s="104">
        <f t="shared" si="96"/>
        <v>0</v>
      </c>
      <c r="N195" s="104">
        <f t="shared" si="96"/>
        <v>0</v>
      </c>
      <c r="O195" s="104">
        <f t="shared" si="96"/>
        <v>0</v>
      </c>
      <c r="P195" s="104">
        <f t="shared" si="96"/>
        <v>0</v>
      </c>
      <c r="Q195" s="104">
        <f t="shared" si="96"/>
        <v>0</v>
      </c>
      <c r="R195" s="104">
        <f t="shared" si="96"/>
        <v>0</v>
      </c>
      <c r="S195" s="104">
        <f t="shared" si="96"/>
        <v>0</v>
      </c>
      <c r="T195" s="104">
        <f t="shared" si="96"/>
        <v>0</v>
      </c>
      <c r="U195" s="104">
        <f t="shared" si="96"/>
        <v>0</v>
      </c>
      <c r="V195" s="104">
        <f t="shared" si="96"/>
        <v>0</v>
      </c>
      <c r="W195" s="104">
        <f t="shared" si="96"/>
        <v>0</v>
      </c>
      <c r="X195" s="104">
        <f t="shared" si="96"/>
        <v>0</v>
      </c>
      <c r="Y195" s="104">
        <f t="shared" si="96"/>
        <v>0</v>
      </c>
      <c r="Z195" s="104">
        <f t="shared" si="96"/>
        <v>0</v>
      </c>
      <c r="AA195" s="104">
        <f t="shared" si="96"/>
        <v>0</v>
      </c>
      <c r="AB195" s="104">
        <f t="shared" si="96"/>
        <v>0</v>
      </c>
      <c r="AC195" s="104">
        <f t="shared" si="96"/>
        <v>0</v>
      </c>
      <c r="AD195" s="104">
        <f t="shared" si="96"/>
        <v>0</v>
      </c>
      <c r="AE195" s="104">
        <f t="shared" si="96"/>
        <v>0</v>
      </c>
      <c r="AF195" s="104">
        <f t="shared" si="96"/>
        <v>0</v>
      </c>
      <c r="AG195" s="104">
        <f t="shared" si="96"/>
        <v>0</v>
      </c>
      <c r="AH195" s="104">
        <f t="shared" si="96"/>
        <v>0</v>
      </c>
      <c r="AI195" s="104">
        <f t="shared" si="96"/>
        <v>0</v>
      </c>
      <c r="AJ195" s="104">
        <f t="shared" si="96"/>
        <v>0</v>
      </c>
      <c r="AK195" s="104">
        <f t="shared" si="96"/>
        <v>0</v>
      </c>
      <c r="AL195" s="104">
        <f t="shared" si="96"/>
        <v>0</v>
      </c>
      <c r="AM195" s="104">
        <f t="shared" si="96"/>
        <v>0</v>
      </c>
      <c r="AN195" s="25"/>
      <c r="AO195" s="25"/>
      <c r="AP195" s="25"/>
      <c r="AQ195" s="25"/>
      <c r="AR195" s="25"/>
      <c r="AS195" s="25"/>
      <c r="AT195" s="25"/>
      <c r="AU195" s="25"/>
      <c r="AV195" s="25"/>
      <c r="AW195" s="25"/>
      <c r="AX195" s="25"/>
      <c r="AY195" s="25"/>
      <c r="AZ195" s="25"/>
    </row>
    <row r="196" spans="1:52" s="101" customFormat="1" x14ac:dyDescent="0.5">
      <c r="A196" s="26"/>
      <c r="B196" s="26"/>
      <c r="C196" s="26" t="s">
        <v>25</v>
      </c>
      <c r="D196" s="26" t="s">
        <v>131</v>
      </c>
      <c r="E196" s="26"/>
      <c r="F196" s="26"/>
      <c r="G196" s="26"/>
      <c r="H196" s="112">
        <f>J196+NPV(discountrate,K196:AK196)</f>
        <v>0</v>
      </c>
      <c r="I196" s="26"/>
      <c r="J196" s="112">
        <f t="shared" ref="J196:AM196" si="97">SUM(J193:J195)</f>
        <v>0</v>
      </c>
      <c r="K196" s="112">
        <f t="shared" si="97"/>
        <v>0</v>
      </c>
      <c r="L196" s="112">
        <f t="shared" si="97"/>
        <v>0</v>
      </c>
      <c r="M196" s="112">
        <f t="shared" si="97"/>
        <v>0</v>
      </c>
      <c r="N196" s="112">
        <f t="shared" si="97"/>
        <v>0</v>
      </c>
      <c r="O196" s="112">
        <f t="shared" si="97"/>
        <v>0</v>
      </c>
      <c r="P196" s="112">
        <f t="shared" si="97"/>
        <v>0</v>
      </c>
      <c r="Q196" s="112">
        <f t="shared" si="97"/>
        <v>0</v>
      </c>
      <c r="R196" s="112">
        <f t="shared" si="97"/>
        <v>0</v>
      </c>
      <c r="S196" s="112">
        <f t="shared" si="97"/>
        <v>0</v>
      </c>
      <c r="T196" s="112">
        <f t="shared" si="97"/>
        <v>0</v>
      </c>
      <c r="U196" s="112">
        <f t="shared" si="97"/>
        <v>0</v>
      </c>
      <c r="V196" s="112">
        <f t="shared" si="97"/>
        <v>0</v>
      </c>
      <c r="W196" s="112">
        <f t="shared" si="97"/>
        <v>0</v>
      </c>
      <c r="X196" s="112">
        <f t="shared" si="97"/>
        <v>0</v>
      </c>
      <c r="Y196" s="112">
        <f t="shared" si="97"/>
        <v>0</v>
      </c>
      <c r="Z196" s="112">
        <f t="shared" si="97"/>
        <v>0</v>
      </c>
      <c r="AA196" s="112">
        <f t="shared" si="97"/>
        <v>0</v>
      </c>
      <c r="AB196" s="112">
        <f t="shared" si="97"/>
        <v>0</v>
      </c>
      <c r="AC196" s="112">
        <f t="shared" si="97"/>
        <v>0</v>
      </c>
      <c r="AD196" s="112">
        <f t="shared" si="97"/>
        <v>0</v>
      </c>
      <c r="AE196" s="112">
        <f t="shared" si="97"/>
        <v>0</v>
      </c>
      <c r="AF196" s="112">
        <f t="shared" si="97"/>
        <v>0</v>
      </c>
      <c r="AG196" s="112">
        <f t="shared" si="97"/>
        <v>0</v>
      </c>
      <c r="AH196" s="112">
        <f t="shared" si="97"/>
        <v>0</v>
      </c>
      <c r="AI196" s="112">
        <f t="shared" si="97"/>
        <v>0</v>
      </c>
      <c r="AJ196" s="112">
        <f t="shared" si="97"/>
        <v>0</v>
      </c>
      <c r="AK196" s="112">
        <f t="shared" si="97"/>
        <v>0</v>
      </c>
      <c r="AL196" s="112">
        <f t="shared" si="97"/>
        <v>0</v>
      </c>
      <c r="AM196" s="112">
        <f t="shared" si="97"/>
        <v>0</v>
      </c>
      <c r="AN196" s="26"/>
      <c r="AO196" s="26"/>
      <c r="AP196" s="26"/>
      <c r="AQ196" s="26"/>
      <c r="AR196" s="26"/>
      <c r="AS196" s="26"/>
      <c r="AT196" s="26"/>
      <c r="AU196" s="26"/>
      <c r="AV196" s="26"/>
      <c r="AW196" s="26"/>
      <c r="AX196" s="26"/>
      <c r="AY196" s="26"/>
      <c r="AZ196" s="26"/>
    </row>
    <row r="197" spans="1:52" s="101" customFormat="1" x14ac:dyDescent="0.5">
      <c r="A197" s="26"/>
      <c r="B197" s="26"/>
      <c r="C197" s="26"/>
      <c r="D197" s="26"/>
      <c r="E197" s="26"/>
      <c r="F197" s="26"/>
      <c r="G197" s="26"/>
      <c r="H197" s="155"/>
      <c r="I197" s="2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26"/>
      <c r="AO197" s="26"/>
      <c r="AP197" s="26"/>
      <c r="AQ197" s="26"/>
      <c r="AR197" s="26"/>
      <c r="AS197" s="26"/>
      <c r="AT197" s="26"/>
      <c r="AU197" s="26"/>
      <c r="AV197" s="26"/>
      <c r="AW197" s="26"/>
      <c r="AX197" s="26"/>
      <c r="AY197" s="26"/>
      <c r="AZ197" s="26"/>
    </row>
    <row r="198" spans="1:52" s="101" customFormat="1" x14ac:dyDescent="0.5">
      <c r="A198" s="26"/>
      <c r="B198" s="26"/>
      <c r="C198" s="26" t="s">
        <v>147</v>
      </c>
      <c r="D198" s="26"/>
      <c r="E198" s="26"/>
      <c r="F198" s="26"/>
      <c r="G198" s="26"/>
      <c r="H198" s="154"/>
      <c r="I198" s="26"/>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4"/>
      <c r="AL198" s="154"/>
      <c r="AM198" s="154"/>
      <c r="AN198" s="26"/>
      <c r="AO198" s="26"/>
      <c r="AP198" s="26"/>
      <c r="AQ198" s="26"/>
      <c r="AR198" s="26"/>
      <c r="AS198" s="26"/>
      <c r="AT198" s="26"/>
      <c r="AU198" s="26"/>
      <c r="AV198" s="26"/>
      <c r="AW198" s="26"/>
      <c r="AX198" s="26"/>
      <c r="AY198" s="26"/>
      <c r="AZ198" s="26"/>
    </row>
    <row r="199" spans="1:52" s="101" customFormat="1" x14ac:dyDescent="0.5">
      <c r="A199" s="26"/>
      <c r="B199" s="26"/>
      <c r="C199" s="26"/>
      <c r="D199" s="26"/>
      <c r="E199" s="26"/>
      <c r="F199" s="26"/>
      <c r="G199" s="26"/>
      <c r="H199" s="154"/>
      <c r="I199" s="26"/>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26"/>
      <c r="AO199" s="26"/>
      <c r="AP199" s="26"/>
      <c r="AQ199" s="26"/>
      <c r="AR199" s="26"/>
      <c r="AS199" s="26"/>
      <c r="AT199" s="26"/>
      <c r="AU199" s="26"/>
      <c r="AV199" s="26"/>
      <c r="AW199" s="26"/>
      <c r="AX199" s="26"/>
      <c r="AY199" s="26"/>
      <c r="AZ199" s="26"/>
    </row>
    <row r="200" spans="1:52" s="101" customFormat="1" x14ac:dyDescent="0.5">
      <c r="A200" s="26"/>
      <c r="B200" s="26"/>
      <c r="C200" s="25" t="s">
        <v>94</v>
      </c>
      <c r="D200" s="25" t="s">
        <v>35</v>
      </c>
      <c r="E200" s="26"/>
      <c r="F200" s="26"/>
      <c r="G200" s="26"/>
      <c r="H200" s="157"/>
      <c r="I200" s="26"/>
      <c r="J200" s="105">
        <f>INDEX(STPvolumes,MATCH($C200,volumesnames,0),MATCH(J$7,years,0))</f>
        <v>0</v>
      </c>
      <c r="K200" s="105">
        <f t="shared" ref="K200:AM200" si="98">INDEX(STPvolumes,MATCH($C200,volumesnames,0),MATCH(K$7,years,0))</f>
        <v>0</v>
      </c>
      <c r="L200" s="105">
        <f t="shared" si="98"/>
        <v>0</v>
      </c>
      <c r="M200" s="105">
        <f t="shared" si="98"/>
        <v>0</v>
      </c>
      <c r="N200" s="105">
        <f t="shared" si="98"/>
        <v>0</v>
      </c>
      <c r="O200" s="105">
        <f t="shared" si="98"/>
        <v>0</v>
      </c>
      <c r="P200" s="105">
        <f t="shared" si="98"/>
        <v>0</v>
      </c>
      <c r="Q200" s="105">
        <f t="shared" si="98"/>
        <v>0</v>
      </c>
      <c r="R200" s="105">
        <f t="shared" si="98"/>
        <v>0</v>
      </c>
      <c r="S200" s="105">
        <f t="shared" si="98"/>
        <v>0</v>
      </c>
      <c r="T200" s="105">
        <f t="shared" si="98"/>
        <v>0</v>
      </c>
      <c r="U200" s="105">
        <f t="shared" si="98"/>
        <v>0</v>
      </c>
      <c r="V200" s="105">
        <f t="shared" si="98"/>
        <v>0</v>
      </c>
      <c r="W200" s="105">
        <f t="shared" si="98"/>
        <v>0</v>
      </c>
      <c r="X200" s="105">
        <f t="shared" si="98"/>
        <v>0</v>
      </c>
      <c r="Y200" s="105">
        <f t="shared" si="98"/>
        <v>0</v>
      </c>
      <c r="Z200" s="105">
        <f t="shared" si="98"/>
        <v>0</v>
      </c>
      <c r="AA200" s="105">
        <f t="shared" si="98"/>
        <v>0</v>
      </c>
      <c r="AB200" s="105">
        <f t="shared" si="98"/>
        <v>0</v>
      </c>
      <c r="AC200" s="105">
        <f t="shared" si="98"/>
        <v>0</v>
      </c>
      <c r="AD200" s="105">
        <f t="shared" si="98"/>
        <v>0</v>
      </c>
      <c r="AE200" s="105">
        <f t="shared" si="98"/>
        <v>0</v>
      </c>
      <c r="AF200" s="105">
        <f t="shared" si="98"/>
        <v>0</v>
      </c>
      <c r="AG200" s="105">
        <f t="shared" si="98"/>
        <v>0</v>
      </c>
      <c r="AH200" s="105">
        <f t="shared" si="98"/>
        <v>0</v>
      </c>
      <c r="AI200" s="105">
        <f t="shared" si="98"/>
        <v>0</v>
      </c>
      <c r="AJ200" s="105">
        <f t="shared" si="98"/>
        <v>0</v>
      </c>
      <c r="AK200" s="105">
        <f t="shared" si="98"/>
        <v>0</v>
      </c>
      <c r="AL200" s="105">
        <f t="shared" si="98"/>
        <v>0</v>
      </c>
      <c r="AM200" s="105">
        <f t="shared" si="98"/>
        <v>0</v>
      </c>
      <c r="AN200" s="26"/>
      <c r="AO200" s="26"/>
      <c r="AP200" s="26"/>
      <c r="AQ200" s="26"/>
      <c r="AR200" s="26"/>
      <c r="AS200" s="26"/>
      <c r="AT200" s="26"/>
      <c r="AU200" s="26"/>
      <c r="AV200" s="26"/>
      <c r="AW200" s="26"/>
      <c r="AX200" s="26"/>
      <c r="AY200" s="26"/>
      <c r="AZ200" s="26"/>
    </row>
    <row r="201" spans="1:52" s="101" customFormat="1" x14ac:dyDescent="0.5">
      <c r="A201" s="26"/>
      <c r="B201" s="26"/>
      <c r="C201" s="25" t="s">
        <v>148</v>
      </c>
      <c r="D201" s="25" t="s">
        <v>150</v>
      </c>
      <c r="E201" s="26"/>
      <c r="F201" s="26"/>
      <c r="G201" s="26"/>
      <c r="H201" s="157"/>
      <c r="I201" s="26"/>
      <c r="J201" s="105">
        <f t="shared" ref="J201:AM201" si="99">INDEX(STPexistingcost,MATCH(J$7,years,0))</f>
        <v>0</v>
      </c>
      <c r="K201" s="105">
        <f t="shared" si="99"/>
        <v>0</v>
      </c>
      <c r="L201" s="105">
        <f t="shared" si="99"/>
        <v>0</v>
      </c>
      <c r="M201" s="105">
        <f t="shared" si="99"/>
        <v>0</v>
      </c>
      <c r="N201" s="105">
        <f t="shared" si="99"/>
        <v>0</v>
      </c>
      <c r="O201" s="105">
        <f t="shared" si="99"/>
        <v>0</v>
      </c>
      <c r="P201" s="105">
        <f t="shared" si="99"/>
        <v>0</v>
      </c>
      <c r="Q201" s="105">
        <f t="shared" si="99"/>
        <v>0</v>
      </c>
      <c r="R201" s="105">
        <f t="shared" si="99"/>
        <v>0</v>
      </c>
      <c r="S201" s="105">
        <f t="shared" si="99"/>
        <v>0</v>
      </c>
      <c r="T201" s="105">
        <f t="shared" si="99"/>
        <v>0</v>
      </c>
      <c r="U201" s="105">
        <f t="shared" si="99"/>
        <v>0</v>
      </c>
      <c r="V201" s="105">
        <f t="shared" si="99"/>
        <v>0</v>
      </c>
      <c r="W201" s="105">
        <f t="shared" si="99"/>
        <v>0</v>
      </c>
      <c r="X201" s="105">
        <f t="shared" si="99"/>
        <v>0</v>
      </c>
      <c r="Y201" s="105">
        <f t="shared" si="99"/>
        <v>0</v>
      </c>
      <c r="Z201" s="105">
        <f t="shared" si="99"/>
        <v>0</v>
      </c>
      <c r="AA201" s="105">
        <f t="shared" si="99"/>
        <v>0</v>
      </c>
      <c r="AB201" s="105">
        <f t="shared" si="99"/>
        <v>0</v>
      </c>
      <c r="AC201" s="105">
        <f t="shared" si="99"/>
        <v>0</v>
      </c>
      <c r="AD201" s="105">
        <f t="shared" si="99"/>
        <v>0</v>
      </c>
      <c r="AE201" s="105">
        <f t="shared" si="99"/>
        <v>0</v>
      </c>
      <c r="AF201" s="105">
        <f t="shared" si="99"/>
        <v>0</v>
      </c>
      <c r="AG201" s="105">
        <f t="shared" si="99"/>
        <v>0</v>
      </c>
      <c r="AH201" s="105">
        <f t="shared" si="99"/>
        <v>0</v>
      </c>
      <c r="AI201" s="105">
        <f t="shared" si="99"/>
        <v>0</v>
      </c>
      <c r="AJ201" s="105">
        <f t="shared" si="99"/>
        <v>0</v>
      </c>
      <c r="AK201" s="105">
        <f t="shared" si="99"/>
        <v>0</v>
      </c>
      <c r="AL201" s="105">
        <f t="shared" si="99"/>
        <v>0</v>
      </c>
      <c r="AM201" s="105">
        <f t="shared" si="99"/>
        <v>0</v>
      </c>
      <c r="AN201" s="26"/>
      <c r="AO201" s="26"/>
      <c r="AP201" s="26"/>
      <c r="AQ201" s="26"/>
      <c r="AR201" s="26"/>
      <c r="AS201" s="26"/>
      <c r="AT201" s="26"/>
      <c r="AU201" s="26"/>
      <c r="AV201" s="26"/>
      <c r="AW201" s="26"/>
      <c r="AX201" s="26"/>
      <c r="AY201" s="26"/>
      <c r="AZ201" s="26"/>
    </row>
    <row r="202" spans="1:52" s="101" customFormat="1" x14ac:dyDescent="0.5">
      <c r="A202" s="26"/>
      <c r="B202" s="26"/>
      <c r="C202" s="26" t="s">
        <v>149</v>
      </c>
      <c r="D202" s="26" t="s">
        <v>150</v>
      </c>
      <c r="E202" s="26"/>
      <c r="F202" s="26"/>
      <c r="G202" s="26"/>
      <c r="H202" s="105">
        <f>J202+NPV(discountrate,K202:AM202)</f>
        <v>0</v>
      </c>
      <c r="I202" s="26"/>
      <c r="J202" s="105">
        <f>J200*J201</f>
        <v>0</v>
      </c>
      <c r="K202" s="105">
        <f t="shared" ref="K202:AM202" si="100">K200*K201</f>
        <v>0</v>
      </c>
      <c r="L202" s="105">
        <f t="shared" si="100"/>
        <v>0</v>
      </c>
      <c r="M202" s="105">
        <f t="shared" si="100"/>
        <v>0</v>
      </c>
      <c r="N202" s="105">
        <f t="shared" si="100"/>
        <v>0</v>
      </c>
      <c r="O202" s="105">
        <f t="shared" si="100"/>
        <v>0</v>
      </c>
      <c r="P202" s="105">
        <f t="shared" si="100"/>
        <v>0</v>
      </c>
      <c r="Q202" s="105">
        <f t="shared" si="100"/>
        <v>0</v>
      </c>
      <c r="R202" s="105">
        <f t="shared" si="100"/>
        <v>0</v>
      </c>
      <c r="S202" s="105">
        <f t="shared" si="100"/>
        <v>0</v>
      </c>
      <c r="T202" s="105">
        <f t="shared" si="100"/>
        <v>0</v>
      </c>
      <c r="U202" s="105">
        <f t="shared" si="100"/>
        <v>0</v>
      </c>
      <c r="V202" s="105">
        <f t="shared" si="100"/>
        <v>0</v>
      </c>
      <c r="W202" s="105">
        <f t="shared" si="100"/>
        <v>0</v>
      </c>
      <c r="X202" s="105">
        <f t="shared" si="100"/>
        <v>0</v>
      </c>
      <c r="Y202" s="105">
        <f t="shared" si="100"/>
        <v>0</v>
      </c>
      <c r="Z202" s="105">
        <f t="shared" si="100"/>
        <v>0</v>
      </c>
      <c r="AA202" s="105">
        <f t="shared" si="100"/>
        <v>0</v>
      </c>
      <c r="AB202" s="105">
        <f t="shared" si="100"/>
        <v>0</v>
      </c>
      <c r="AC202" s="105">
        <f t="shared" si="100"/>
        <v>0</v>
      </c>
      <c r="AD202" s="105">
        <f t="shared" si="100"/>
        <v>0</v>
      </c>
      <c r="AE202" s="105">
        <f t="shared" si="100"/>
        <v>0</v>
      </c>
      <c r="AF202" s="105">
        <f t="shared" si="100"/>
        <v>0</v>
      </c>
      <c r="AG202" s="105">
        <f t="shared" si="100"/>
        <v>0</v>
      </c>
      <c r="AH202" s="105">
        <f t="shared" si="100"/>
        <v>0</v>
      </c>
      <c r="AI202" s="105">
        <f t="shared" si="100"/>
        <v>0</v>
      </c>
      <c r="AJ202" s="105">
        <f t="shared" si="100"/>
        <v>0</v>
      </c>
      <c r="AK202" s="105">
        <f t="shared" si="100"/>
        <v>0</v>
      </c>
      <c r="AL202" s="105">
        <f t="shared" si="100"/>
        <v>0</v>
      </c>
      <c r="AM202" s="105">
        <f t="shared" si="100"/>
        <v>0</v>
      </c>
      <c r="AN202" s="26"/>
      <c r="AO202" s="26"/>
      <c r="AP202" s="26"/>
      <c r="AQ202" s="26"/>
      <c r="AR202" s="26"/>
      <c r="AS202" s="26"/>
      <c r="AT202" s="26"/>
      <c r="AU202" s="26"/>
      <c r="AV202" s="26"/>
      <c r="AW202" s="26"/>
      <c r="AX202" s="26"/>
      <c r="AY202" s="26"/>
      <c r="AZ202" s="26"/>
    </row>
    <row r="203" spans="1:52" x14ac:dyDescent="0.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row>
    <row r="204" spans="1:52" ht="19.5" x14ac:dyDescent="0.55000000000000004">
      <c r="A204" s="25"/>
      <c r="C204" s="97" t="s">
        <v>96</v>
      </c>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row>
    <row r="205" spans="1:52" x14ac:dyDescent="0.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row>
    <row r="206" spans="1:52" x14ac:dyDescent="0.5">
      <c r="A206" s="25"/>
      <c r="B206" s="25"/>
      <c r="C206" s="98" t="s">
        <v>21</v>
      </c>
      <c r="D206" s="99"/>
      <c r="E206" s="99"/>
      <c r="F206" s="25"/>
      <c r="G206" s="25"/>
      <c r="H206" s="99"/>
      <c r="I206" s="25"/>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25"/>
      <c r="AO206" s="25"/>
      <c r="AP206" s="25"/>
      <c r="AQ206" s="25"/>
      <c r="AR206" s="25"/>
      <c r="AS206" s="25"/>
      <c r="AT206" s="25"/>
      <c r="AU206" s="25"/>
      <c r="AV206" s="25"/>
      <c r="AW206" s="25"/>
      <c r="AX206" s="25"/>
      <c r="AY206" s="25"/>
      <c r="AZ206" s="25"/>
    </row>
    <row r="207" spans="1:52" x14ac:dyDescent="0.5">
      <c r="A207" s="25"/>
      <c r="B207" s="25"/>
      <c r="C207" s="98" t="s">
        <v>18</v>
      </c>
      <c r="D207" s="98"/>
      <c r="E207" s="98"/>
      <c r="F207" s="25"/>
      <c r="G207" s="25"/>
      <c r="H207" s="99"/>
      <c r="I207" s="25"/>
      <c r="J207" s="107">
        <f t="shared" ref="J207:AM207" si="101">IF(J214&lt;INDEX(tippingpoints,MATCH($B121,tippingpointnames,0),1),0,1)</f>
        <v>1</v>
      </c>
      <c r="K207" s="107">
        <f t="shared" si="101"/>
        <v>1</v>
      </c>
      <c r="L207" s="107">
        <f t="shared" si="101"/>
        <v>1</v>
      </c>
      <c r="M207" s="107">
        <f t="shared" si="101"/>
        <v>1</v>
      </c>
      <c r="N207" s="107">
        <f t="shared" si="101"/>
        <v>1</v>
      </c>
      <c r="O207" s="107">
        <f t="shared" si="101"/>
        <v>1</v>
      </c>
      <c r="P207" s="107">
        <f t="shared" si="101"/>
        <v>1</v>
      </c>
      <c r="Q207" s="107">
        <f t="shared" si="101"/>
        <v>1</v>
      </c>
      <c r="R207" s="107">
        <f t="shared" si="101"/>
        <v>1</v>
      </c>
      <c r="S207" s="107">
        <f t="shared" si="101"/>
        <v>1</v>
      </c>
      <c r="T207" s="107">
        <f t="shared" si="101"/>
        <v>1</v>
      </c>
      <c r="U207" s="107">
        <f t="shared" si="101"/>
        <v>1</v>
      </c>
      <c r="V207" s="107">
        <f t="shared" si="101"/>
        <v>1</v>
      </c>
      <c r="W207" s="107">
        <f t="shared" si="101"/>
        <v>1</v>
      </c>
      <c r="X207" s="107">
        <f t="shared" si="101"/>
        <v>1</v>
      </c>
      <c r="Y207" s="107">
        <f t="shared" si="101"/>
        <v>1</v>
      </c>
      <c r="Z207" s="107">
        <f t="shared" si="101"/>
        <v>1</v>
      </c>
      <c r="AA207" s="107">
        <f t="shared" si="101"/>
        <v>1</v>
      </c>
      <c r="AB207" s="107">
        <f t="shared" si="101"/>
        <v>1</v>
      </c>
      <c r="AC207" s="107">
        <f t="shared" si="101"/>
        <v>1</v>
      </c>
      <c r="AD207" s="107">
        <f t="shared" si="101"/>
        <v>1</v>
      </c>
      <c r="AE207" s="107">
        <f t="shared" si="101"/>
        <v>1</v>
      </c>
      <c r="AF207" s="107">
        <f t="shared" si="101"/>
        <v>1</v>
      </c>
      <c r="AG207" s="107">
        <f t="shared" si="101"/>
        <v>1</v>
      </c>
      <c r="AH207" s="107">
        <f t="shared" si="101"/>
        <v>1</v>
      </c>
      <c r="AI207" s="107">
        <f t="shared" si="101"/>
        <v>1</v>
      </c>
      <c r="AJ207" s="107">
        <f t="shared" si="101"/>
        <v>1</v>
      </c>
      <c r="AK207" s="107">
        <f t="shared" si="101"/>
        <v>1</v>
      </c>
      <c r="AL207" s="107">
        <f t="shared" si="101"/>
        <v>1</v>
      </c>
      <c r="AM207" s="107">
        <f t="shared" si="101"/>
        <v>1</v>
      </c>
      <c r="AN207" s="25"/>
      <c r="AO207" s="25"/>
      <c r="AP207" s="25"/>
      <c r="AQ207" s="25"/>
      <c r="AR207" s="25"/>
      <c r="AS207" s="25"/>
      <c r="AT207" s="25"/>
      <c r="AU207" s="25"/>
      <c r="AV207" s="25"/>
      <c r="AW207" s="25"/>
      <c r="AX207" s="25"/>
      <c r="AY207" s="25"/>
      <c r="AZ207" s="25"/>
    </row>
    <row r="208" spans="1:52" x14ac:dyDescent="0.5">
      <c r="A208" s="25"/>
      <c r="B208" s="25"/>
      <c r="C208" s="98" t="s">
        <v>19</v>
      </c>
      <c r="D208" s="98"/>
      <c r="E208" s="98"/>
      <c r="F208" s="25"/>
      <c r="G208" s="25"/>
      <c r="H208" s="99"/>
      <c r="I208" s="25"/>
      <c r="J208" s="109">
        <f>IF(SUM($J207:J207)=0,0,1)</f>
        <v>1</v>
      </c>
      <c r="K208" s="109">
        <f>IF(SUM($J207:K207)=0,0,1)</f>
        <v>1</v>
      </c>
      <c r="L208" s="109">
        <f>IF(SUM($J207:L207)=0,0,1)</f>
        <v>1</v>
      </c>
      <c r="M208" s="109">
        <f>IF(SUM($J207:M207)=0,0,1)</f>
        <v>1</v>
      </c>
      <c r="N208" s="109">
        <f>IF(SUM($J207:N207)=0,0,1)</f>
        <v>1</v>
      </c>
      <c r="O208" s="109">
        <f>IF(SUM($J207:O207)=0,0,1)</f>
        <v>1</v>
      </c>
      <c r="P208" s="109">
        <f>IF(SUM($J207:P207)=0,0,1)</f>
        <v>1</v>
      </c>
      <c r="Q208" s="109">
        <f>IF(SUM($J207:Q207)=0,0,1)</f>
        <v>1</v>
      </c>
      <c r="R208" s="109">
        <f>IF(SUM($J207:R207)=0,0,1)</f>
        <v>1</v>
      </c>
      <c r="S208" s="109">
        <f>IF(SUM($J207:S207)=0,0,1)</f>
        <v>1</v>
      </c>
      <c r="T208" s="109">
        <f>IF(SUM($J207:T207)=0,0,1)</f>
        <v>1</v>
      </c>
      <c r="U208" s="109">
        <f>IF(SUM($J207:U207)=0,0,1)</f>
        <v>1</v>
      </c>
      <c r="V208" s="109">
        <f>IF(SUM($J207:V207)=0,0,1)</f>
        <v>1</v>
      </c>
      <c r="W208" s="109">
        <f>IF(SUM($J207:W207)=0,0,1)</f>
        <v>1</v>
      </c>
      <c r="X208" s="109">
        <f>IF(SUM($J207:X207)=0,0,1)</f>
        <v>1</v>
      </c>
      <c r="Y208" s="109">
        <f>IF(SUM($J207:Y207)=0,0,1)</f>
        <v>1</v>
      </c>
      <c r="Z208" s="109">
        <f>IF(SUM($J207:Z207)=0,0,1)</f>
        <v>1</v>
      </c>
      <c r="AA208" s="109">
        <f>IF(SUM($J207:AA207)=0,0,1)</f>
        <v>1</v>
      </c>
      <c r="AB208" s="109">
        <f>IF(SUM($J207:AB207)=0,0,1)</f>
        <v>1</v>
      </c>
      <c r="AC208" s="109">
        <f>IF(SUM($J207:AC207)=0,0,1)</f>
        <v>1</v>
      </c>
      <c r="AD208" s="109">
        <f>IF(SUM($J207:AD207)=0,0,1)</f>
        <v>1</v>
      </c>
      <c r="AE208" s="109">
        <f>IF(SUM($J207:AE207)=0,0,1)</f>
        <v>1</v>
      </c>
      <c r="AF208" s="109">
        <f>IF(SUM($J207:AF207)=0,0,1)</f>
        <v>1</v>
      </c>
      <c r="AG208" s="109">
        <f>IF(SUM($J207:AG207)=0,0,1)</f>
        <v>1</v>
      </c>
      <c r="AH208" s="109">
        <f>IF(SUM($J207:AH207)=0,0,1)</f>
        <v>1</v>
      </c>
      <c r="AI208" s="109">
        <f>IF(SUM($J207:AI207)=0,0,1)</f>
        <v>1</v>
      </c>
      <c r="AJ208" s="109">
        <f>IF(SUM($J207:AJ207)=0,0,1)</f>
        <v>1</v>
      </c>
      <c r="AK208" s="109">
        <f>IF(SUM($J207:AK207)=0,0,1)</f>
        <v>1</v>
      </c>
      <c r="AL208" s="109">
        <f>IF(SUM($J207:AL207)=0,0,1)</f>
        <v>1</v>
      </c>
      <c r="AM208" s="109">
        <f>IF(SUM($J207:AM207)=0,0,1)</f>
        <v>1</v>
      </c>
      <c r="AN208" s="25"/>
      <c r="AO208" s="25"/>
      <c r="AP208" s="25"/>
      <c r="AQ208" s="25"/>
      <c r="AR208" s="25"/>
      <c r="AS208" s="25"/>
      <c r="AT208" s="25"/>
      <c r="AU208" s="25"/>
      <c r="AV208" s="25"/>
      <c r="AW208" s="25"/>
      <c r="AX208" s="25"/>
      <c r="AY208" s="25"/>
      <c r="AZ208" s="25"/>
    </row>
    <row r="209" spans="1:60" x14ac:dyDescent="0.5">
      <c r="A209" s="25"/>
      <c r="B209" s="25"/>
      <c r="C209" s="98" t="s">
        <v>20</v>
      </c>
      <c r="D209" s="98"/>
      <c r="E209" s="98"/>
      <c r="F209" s="25"/>
      <c r="G209" s="25"/>
      <c r="H209" s="99"/>
      <c r="I209" s="25"/>
      <c r="J209" s="109">
        <f>IF($AM208=0,0,IF(AND(J208=0,J207=0),K209-1,0))</f>
        <v>0</v>
      </c>
      <c r="K209" s="109">
        <f t="shared" ref="K209:AM209" si="102">IF($AM208=0,0,IF(AND(K208=0,K207=0),L209-1,0))</f>
        <v>0</v>
      </c>
      <c r="L209" s="109">
        <f t="shared" si="102"/>
        <v>0</v>
      </c>
      <c r="M209" s="109">
        <f t="shared" si="102"/>
        <v>0</v>
      </c>
      <c r="N209" s="109">
        <f t="shared" si="102"/>
        <v>0</v>
      </c>
      <c r="O209" s="109">
        <f t="shared" si="102"/>
        <v>0</v>
      </c>
      <c r="P209" s="109">
        <f t="shared" si="102"/>
        <v>0</v>
      </c>
      <c r="Q209" s="109">
        <f t="shared" si="102"/>
        <v>0</v>
      </c>
      <c r="R209" s="109">
        <f t="shared" si="102"/>
        <v>0</v>
      </c>
      <c r="S209" s="109">
        <f t="shared" si="102"/>
        <v>0</v>
      </c>
      <c r="T209" s="109">
        <f t="shared" si="102"/>
        <v>0</v>
      </c>
      <c r="U209" s="109">
        <f t="shared" si="102"/>
        <v>0</v>
      </c>
      <c r="V209" s="109">
        <f t="shared" si="102"/>
        <v>0</v>
      </c>
      <c r="W209" s="109">
        <f t="shared" si="102"/>
        <v>0</v>
      </c>
      <c r="X209" s="109">
        <f t="shared" si="102"/>
        <v>0</v>
      </c>
      <c r="Y209" s="109">
        <f t="shared" si="102"/>
        <v>0</v>
      </c>
      <c r="Z209" s="109">
        <f t="shared" si="102"/>
        <v>0</v>
      </c>
      <c r="AA209" s="109">
        <f t="shared" si="102"/>
        <v>0</v>
      </c>
      <c r="AB209" s="109">
        <f t="shared" si="102"/>
        <v>0</v>
      </c>
      <c r="AC209" s="109">
        <f t="shared" si="102"/>
        <v>0</v>
      </c>
      <c r="AD209" s="109">
        <f t="shared" si="102"/>
        <v>0</v>
      </c>
      <c r="AE209" s="109">
        <f t="shared" si="102"/>
        <v>0</v>
      </c>
      <c r="AF209" s="109">
        <f t="shared" si="102"/>
        <v>0</v>
      </c>
      <c r="AG209" s="109">
        <f t="shared" si="102"/>
        <v>0</v>
      </c>
      <c r="AH209" s="109">
        <f t="shared" si="102"/>
        <v>0</v>
      </c>
      <c r="AI209" s="109">
        <f t="shared" si="102"/>
        <v>0</v>
      </c>
      <c r="AJ209" s="109">
        <f t="shared" si="102"/>
        <v>0</v>
      </c>
      <c r="AK209" s="109">
        <f t="shared" si="102"/>
        <v>0</v>
      </c>
      <c r="AL209" s="109">
        <f t="shared" si="102"/>
        <v>0</v>
      </c>
      <c r="AM209" s="109">
        <f t="shared" si="102"/>
        <v>0</v>
      </c>
      <c r="AN209" s="25"/>
      <c r="AO209" s="25"/>
      <c r="AP209" s="25"/>
      <c r="AQ209" s="25"/>
      <c r="AR209" s="25"/>
      <c r="AS209" s="25"/>
      <c r="AT209" s="25"/>
      <c r="AU209" s="25"/>
      <c r="AV209" s="25"/>
      <c r="AW209" s="25"/>
      <c r="AX209" s="25"/>
      <c r="AY209" s="25"/>
      <c r="AZ209" s="25"/>
    </row>
    <row r="210" spans="1:60" x14ac:dyDescent="0.5">
      <c r="A210" s="25"/>
      <c r="B210" s="25"/>
      <c r="C210" s="98" t="s">
        <v>118</v>
      </c>
      <c r="D210" s="98"/>
      <c r="E210" s="98"/>
      <c r="F210" s="108"/>
      <c r="G210" s="98"/>
      <c r="H210" s="99"/>
      <c r="I210" s="99"/>
      <c r="J210" s="109">
        <f t="shared" ref="J210:AM210" si="103">IF(ABS(J209)=INDEX(leadtimes,MATCH($B121,assetnames,0),1),1,0)</f>
        <v>1</v>
      </c>
      <c r="K210" s="109">
        <f t="shared" si="103"/>
        <v>1</v>
      </c>
      <c r="L210" s="109">
        <f t="shared" si="103"/>
        <v>1</v>
      </c>
      <c r="M210" s="109">
        <f t="shared" si="103"/>
        <v>1</v>
      </c>
      <c r="N210" s="109">
        <f t="shared" si="103"/>
        <v>1</v>
      </c>
      <c r="O210" s="109">
        <f t="shared" si="103"/>
        <v>1</v>
      </c>
      <c r="P210" s="109">
        <f t="shared" si="103"/>
        <v>1</v>
      </c>
      <c r="Q210" s="109">
        <f t="shared" si="103"/>
        <v>1</v>
      </c>
      <c r="R210" s="109">
        <f t="shared" si="103"/>
        <v>1</v>
      </c>
      <c r="S210" s="109">
        <f t="shared" si="103"/>
        <v>1</v>
      </c>
      <c r="T210" s="109">
        <f t="shared" si="103"/>
        <v>1</v>
      </c>
      <c r="U210" s="109">
        <f t="shared" si="103"/>
        <v>1</v>
      </c>
      <c r="V210" s="109">
        <f t="shared" si="103"/>
        <v>1</v>
      </c>
      <c r="W210" s="109">
        <f t="shared" si="103"/>
        <v>1</v>
      </c>
      <c r="X210" s="109">
        <f t="shared" si="103"/>
        <v>1</v>
      </c>
      <c r="Y210" s="109">
        <f t="shared" si="103"/>
        <v>1</v>
      </c>
      <c r="Z210" s="109">
        <f t="shared" si="103"/>
        <v>1</v>
      </c>
      <c r="AA210" s="109">
        <f t="shared" si="103"/>
        <v>1</v>
      </c>
      <c r="AB210" s="109">
        <f t="shared" si="103"/>
        <v>1</v>
      </c>
      <c r="AC210" s="109">
        <f t="shared" si="103"/>
        <v>1</v>
      </c>
      <c r="AD210" s="109">
        <f t="shared" si="103"/>
        <v>1</v>
      </c>
      <c r="AE210" s="109">
        <f t="shared" si="103"/>
        <v>1</v>
      </c>
      <c r="AF210" s="109">
        <f t="shared" si="103"/>
        <v>1</v>
      </c>
      <c r="AG210" s="109">
        <f t="shared" si="103"/>
        <v>1</v>
      </c>
      <c r="AH210" s="109">
        <f t="shared" si="103"/>
        <v>1</v>
      </c>
      <c r="AI210" s="109">
        <f t="shared" si="103"/>
        <v>1</v>
      </c>
      <c r="AJ210" s="109">
        <f t="shared" si="103"/>
        <v>1</v>
      </c>
      <c r="AK210" s="109">
        <f t="shared" si="103"/>
        <v>1</v>
      </c>
      <c r="AL210" s="109">
        <f t="shared" si="103"/>
        <v>1</v>
      </c>
      <c r="AM210" s="109">
        <f t="shared" si="103"/>
        <v>1</v>
      </c>
      <c r="AN210" s="109"/>
      <c r="AO210" s="109"/>
      <c r="AP210" s="109"/>
      <c r="AQ210" s="109"/>
      <c r="AR210" s="109"/>
      <c r="AS210" s="109"/>
      <c r="AT210" s="109"/>
      <c r="AU210" s="109"/>
      <c r="AV210" s="109"/>
      <c r="AW210" s="109"/>
      <c r="AX210" s="109"/>
      <c r="AY210" s="109"/>
      <c r="AZ210" s="109"/>
      <c r="BA210" s="109"/>
      <c r="BB210" s="109"/>
      <c r="BC210" s="109"/>
      <c r="BD210" s="109"/>
      <c r="BE210" s="100"/>
      <c r="BF210" s="100"/>
      <c r="BG210" s="100"/>
      <c r="BH210" s="100"/>
    </row>
    <row r="211" spans="1:60" x14ac:dyDescent="0.5">
      <c r="A211" s="25"/>
      <c r="B211" s="25"/>
      <c r="C211" s="98" t="s">
        <v>119</v>
      </c>
      <c r="D211" s="98"/>
      <c r="E211" s="98"/>
      <c r="F211" s="108"/>
      <c r="G211" s="98"/>
      <c r="H211" s="99"/>
      <c r="I211" s="99"/>
      <c r="J211" s="109">
        <f>IF(SUM($J210:J210)=1,1,0)+I211</f>
        <v>1</v>
      </c>
      <c r="K211" s="109">
        <f>IF(SUM($J210:K210)=1,1,0)+J211</f>
        <v>1</v>
      </c>
      <c r="L211" s="109">
        <f>IF(SUM($J210:L210)=1,1,0)+K211</f>
        <v>1</v>
      </c>
      <c r="M211" s="109">
        <f>IF(SUM($J210:M210)=1,1,0)+L211</f>
        <v>1</v>
      </c>
      <c r="N211" s="109">
        <f>IF(SUM($J210:N210)=1,1,0)+M211</f>
        <v>1</v>
      </c>
      <c r="O211" s="109">
        <f>IF(SUM($J210:O210)=1,1,0)+N211</f>
        <v>1</v>
      </c>
      <c r="P211" s="109">
        <f>IF(SUM($J210:P210)=1,1,0)+O211</f>
        <v>1</v>
      </c>
      <c r="Q211" s="109">
        <f>IF(SUM($J210:Q210)=1,1,0)+P211</f>
        <v>1</v>
      </c>
      <c r="R211" s="109">
        <f>IF(SUM($J210:R210)=1,1,0)+Q211</f>
        <v>1</v>
      </c>
      <c r="S211" s="109">
        <f>IF(SUM($J210:S210)=1,1,0)+R211</f>
        <v>1</v>
      </c>
      <c r="T211" s="109">
        <f>IF(SUM($J210:T210)=1,1,0)+S211</f>
        <v>1</v>
      </c>
      <c r="U211" s="109">
        <f>IF(SUM($J210:U210)=1,1,0)+T211</f>
        <v>1</v>
      </c>
      <c r="V211" s="109">
        <f>IF(SUM($J210:V210)=1,1,0)+U211</f>
        <v>1</v>
      </c>
      <c r="W211" s="109">
        <f>IF(SUM($J210:W210)=1,1,0)+V211</f>
        <v>1</v>
      </c>
      <c r="X211" s="109">
        <f>IF(SUM($J210:X210)=1,1,0)+W211</f>
        <v>1</v>
      </c>
      <c r="Y211" s="109">
        <f>IF(SUM($J210:Y210)=1,1,0)+X211</f>
        <v>1</v>
      </c>
      <c r="Z211" s="109">
        <f>IF(SUM($J210:Z210)=1,1,0)+Y211</f>
        <v>1</v>
      </c>
      <c r="AA211" s="109">
        <f>IF(SUM($J210:AA210)=1,1,0)+Z211</f>
        <v>1</v>
      </c>
      <c r="AB211" s="109">
        <f>IF(SUM($J210:AB210)=1,1,0)+AA211</f>
        <v>1</v>
      </c>
      <c r="AC211" s="109">
        <f>IF(SUM($J210:AC210)=1,1,0)+AB211</f>
        <v>1</v>
      </c>
      <c r="AD211" s="109">
        <f>IF(SUM($J210:AD210)=1,1,0)+AC211</f>
        <v>1</v>
      </c>
      <c r="AE211" s="109">
        <f>IF(SUM($J210:AE210)=1,1,0)+AD211</f>
        <v>1</v>
      </c>
      <c r="AF211" s="109">
        <f>IF(SUM($J210:AF210)=1,1,0)+AE211</f>
        <v>1</v>
      </c>
      <c r="AG211" s="109">
        <f>IF(SUM($J210:AG210)=1,1,0)+AF211</f>
        <v>1</v>
      </c>
      <c r="AH211" s="109">
        <f>IF(SUM($J210:AH210)=1,1,0)+AG211</f>
        <v>1</v>
      </c>
      <c r="AI211" s="109">
        <f>IF(SUM($J210:AI210)=1,1,0)+AH211</f>
        <v>1</v>
      </c>
      <c r="AJ211" s="109">
        <f>IF(SUM($J210:AJ210)=1,1,0)+AI211</f>
        <v>1</v>
      </c>
      <c r="AK211" s="109">
        <f>IF(SUM($J210:AK210)=1,1,0)+AJ211</f>
        <v>1</v>
      </c>
      <c r="AL211" s="109">
        <f>IF(SUM($J210:AL210)=1,1,0)+AK211</f>
        <v>1</v>
      </c>
      <c r="AM211" s="109">
        <f>IF(SUM($J210:AM210)=1,1,0)+AL211</f>
        <v>1</v>
      </c>
      <c r="AN211" s="109"/>
      <c r="AO211" s="109"/>
      <c r="AP211" s="109"/>
      <c r="AQ211" s="109"/>
      <c r="AR211" s="109"/>
      <c r="AS211" s="109"/>
      <c r="AT211" s="109"/>
      <c r="AU211" s="109"/>
      <c r="AV211" s="109"/>
      <c r="AW211" s="109"/>
      <c r="AX211" s="109"/>
      <c r="AY211" s="109"/>
      <c r="AZ211" s="109"/>
      <c r="BA211" s="109"/>
      <c r="BB211" s="109"/>
      <c r="BC211" s="109"/>
      <c r="BD211" s="109"/>
      <c r="BE211" s="100"/>
      <c r="BF211" s="100"/>
      <c r="BG211" s="100"/>
      <c r="BH211" s="100"/>
    </row>
    <row r="212" spans="1:60" ht="15.65" customHeight="1" x14ac:dyDescent="0.5">
      <c r="A212" s="25"/>
      <c r="B212" s="25"/>
      <c r="C212" s="98" t="s">
        <v>117</v>
      </c>
      <c r="D212" s="99"/>
      <c r="E212" s="99"/>
      <c r="F212" s="106"/>
      <c r="G212" s="99"/>
      <c r="H212" s="99"/>
      <c r="I212" s="99"/>
      <c r="J212" s="107">
        <f>SUM($J207:J207)</f>
        <v>1</v>
      </c>
      <c r="K212" s="107">
        <f>SUM($J207:K207)</f>
        <v>2</v>
      </c>
      <c r="L212" s="107">
        <f>SUM($J207:L207)</f>
        <v>3</v>
      </c>
      <c r="M212" s="107">
        <f>SUM($J207:M207)</f>
        <v>4</v>
      </c>
      <c r="N212" s="107">
        <f>SUM($J207:N207)</f>
        <v>5</v>
      </c>
      <c r="O212" s="107">
        <f>SUM($J207:O207)</f>
        <v>6</v>
      </c>
      <c r="P212" s="107">
        <f>SUM($J207:P207)</f>
        <v>7</v>
      </c>
      <c r="Q212" s="107">
        <f>SUM($J207:Q207)</f>
        <v>8</v>
      </c>
      <c r="R212" s="107">
        <f>SUM($J207:R207)</f>
        <v>9</v>
      </c>
      <c r="S212" s="107">
        <f>SUM($J207:S207)</f>
        <v>10</v>
      </c>
      <c r="T212" s="107">
        <f>SUM($J207:T207)</f>
        <v>11</v>
      </c>
      <c r="U212" s="107">
        <f>SUM($J207:U207)</f>
        <v>12</v>
      </c>
      <c r="V212" s="107">
        <f>SUM($J207:V207)</f>
        <v>13</v>
      </c>
      <c r="W212" s="107">
        <f>SUM($J207:W207)</f>
        <v>14</v>
      </c>
      <c r="X212" s="107">
        <f>SUM($J207:X207)</f>
        <v>15</v>
      </c>
      <c r="Y212" s="107">
        <f>SUM($J207:Y207)</f>
        <v>16</v>
      </c>
      <c r="Z212" s="107">
        <f>SUM($J207:Z207)</f>
        <v>17</v>
      </c>
      <c r="AA212" s="107">
        <f>SUM($J207:AA207)</f>
        <v>18</v>
      </c>
      <c r="AB212" s="107">
        <f>SUM($J207:AB207)</f>
        <v>19</v>
      </c>
      <c r="AC212" s="107">
        <f>SUM($J207:AC207)</f>
        <v>20</v>
      </c>
      <c r="AD212" s="107">
        <f>SUM($J207:AD207)</f>
        <v>21</v>
      </c>
      <c r="AE212" s="107">
        <f>SUM($J207:AE207)</f>
        <v>22</v>
      </c>
      <c r="AF212" s="107">
        <f>SUM($J207:AF207)</f>
        <v>23</v>
      </c>
      <c r="AG212" s="107">
        <f>SUM($J207:AG207)</f>
        <v>24</v>
      </c>
      <c r="AH212" s="107">
        <f>SUM($J207:AH207)</f>
        <v>25</v>
      </c>
      <c r="AI212" s="107">
        <f>SUM($J207:AI207)</f>
        <v>26</v>
      </c>
      <c r="AJ212" s="107">
        <f>SUM($J207:AJ207)</f>
        <v>27</v>
      </c>
      <c r="AK212" s="107">
        <f>SUM($J207:AK207)</f>
        <v>28</v>
      </c>
      <c r="AL212" s="107">
        <f>SUM($J207:AL207)</f>
        <v>29</v>
      </c>
      <c r="AM212" s="107">
        <f>SUM($J207:AM207)</f>
        <v>30</v>
      </c>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row>
    <row r="213" spans="1:60" x14ac:dyDescent="0.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row>
    <row r="214" spans="1:60" x14ac:dyDescent="0.5">
      <c r="A214" s="25"/>
      <c r="B214" s="25"/>
      <c r="C214" s="25" t="s">
        <v>96</v>
      </c>
      <c r="D214" s="25" t="s">
        <v>1</v>
      </c>
      <c r="E214" s="25"/>
      <c r="G214" s="25"/>
      <c r="H214" s="105">
        <f>J214+NPV(discountrate,K214:AK214)</f>
        <v>0</v>
      </c>
      <c r="I214" s="25"/>
      <c r="J214" s="105">
        <f t="shared" ref="J214:AM214" si="104">INDEX(STPvolumes,MATCH($C214,volumesnames,0),MATCH(J$7,years,0))</f>
        <v>0</v>
      </c>
      <c r="K214" s="105">
        <f t="shared" si="104"/>
        <v>0</v>
      </c>
      <c r="L214" s="105">
        <f t="shared" si="104"/>
        <v>0</v>
      </c>
      <c r="M214" s="105">
        <f t="shared" si="104"/>
        <v>0</v>
      </c>
      <c r="N214" s="105">
        <f t="shared" si="104"/>
        <v>0</v>
      </c>
      <c r="O214" s="105">
        <f t="shared" si="104"/>
        <v>0</v>
      </c>
      <c r="P214" s="105">
        <f t="shared" si="104"/>
        <v>0</v>
      </c>
      <c r="Q214" s="105">
        <f t="shared" si="104"/>
        <v>0</v>
      </c>
      <c r="R214" s="105">
        <f t="shared" si="104"/>
        <v>0</v>
      </c>
      <c r="S214" s="105">
        <f t="shared" si="104"/>
        <v>0</v>
      </c>
      <c r="T214" s="105">
        <f t="shared" si="104"/>
        <v>0</v>
      </c>
      <c r="U214" s="105">
        <f t="shared" si="104"/>
        <v>0</v>
      </c>
      <c r="V214" s="105">
        <f t="shared" si="104"/>
        <v>0</v>
      </c>
      <c r="W214" s="105">
        <f t="shared" si="104"/>
        <v>0</v>
      </c>
      <c r="X214" s="105">
        <f t="shared" si="104"/>
        <v>0</v>
      </c>
      <c r="Y214" s="105">
        <f t="shared" si="104"/>
        <v>0</v>
      </c>
      <c r="Z214" s="105">
        <f t="shared" si="104"/>
        <v>0</v>
      </c>
      <c r="AA214" s="105">
        <f t="shared" si="104"/>
        <v>0</v>
      </c>
      <c r="AB214" s="105">
        <f t="shared" si="104"/>
        <v>0</v>
      </c>
      <c r="AC214" s="105">
        <f t="shared" si="104"/>
        <v>0</v>
      </c>
      <c r="AD214" s="105">
        <f t="shared" si="104"/>
        <v>0</v>
      </c>
      <c r="AE214" s="105">
        <f t="shared" si="104"/>
        <v>0</v>
      </c>
      <c r="AF214" s="105">
        <f t="shared" si="104"/>
        <v>0</v>
      </c>
      <c r="AG214" s="105">
        <f t="shared" si="104"/>
        <v>0</v>
      </c>
      <c r="AH214" s="105">
        <f t="shared" si="104"/>
        <v>0</v>
      </c>
      <c r="AI214" s="105">
        <f t="shared" si="104"/>
        <v>0</v>
      </c>
      <c r="AJ214" s="105">
        <f t="shared" si="104"/>
        <v>0</v>
      </c>
      <c r="AK214" s="105">
        <f t="shared" si="104"/>
        <v>0</v>
      </c>
      <c r="AL214" s="105">
        <f t="shared" si="104"/>
        <v>0</v>
      </c>
      <c r="AM214" s="105">
        <f t="shared" si="104"/>
        <v>0</v>
      </c>
      <c r="AN214" s="25"/>
      <c r="AO214" s="25"/>
      <c r="AP214" s="25"/>
      <c r="AQ214" s="25"/>
      <c r="AR214" s="25"/>
      <c r="AS214" s="25"/>
      <c r="AT214" s="25"/>
      <c r="AU214" s="25"/>
      <c r="AV214" s="25"/>
      <c r="AW214" s="25"/>
      <c r="AX214" s="25"/>
      <c r="AY214" s="25"/>
      <c r="AZ214" s="25"/>
    </row>
    <row r="215" spans="1:60" x14ac:dyDescent="0.5">
      <c r="A215" s="25"/>
      <c r="B215" s="25"/>
      <c r="C215" s="25" t="s">
        <v>147</v>
      </c>
      <c r="D215" s="25" t="s">
        <v>150</v>
      </c>
      <c r="E215" s="25"/>
      <c r="F215" s="106"/>
      <c r="G215" s="25"/>
      <c r="H215" s="25"/>
      <c r="I215" s="25"/>
      <c r="J215" s="105">
        <f>J224</f>
        <v>0</v>
      </c>
      <c r="K215" s="105">
        <f t="shared" ref="K215:AM215" si="105">K224</f>
        <v>0</v>
      </c>
      <c r="L215" s="105">
        <f t="shared" si="105"/>
        <v>0</v>
      </c>
      <c r="M215" s="105">
        <f t="shared" si="105"/>
        <v>0</v>
      </c>
      <c r="N215" s="105">
        <f t="shared" si="105"/>
        <v>0</v>
      </c>
      <c r="O215" s="105">
        <f t="shared" si="105"/>
        <v>0</v>
      </c>
      <c r="P215" s="105">
        <f t="shared" si="105"/>
        <v>0</v>
      </c>
      <c r="Q215" s="105">
        <f t="shared" si="105"/>
        <v>0</v>
      </c>
      <c r="R215" s="105">
        <f t="shared" si="105"/>
        <v>0</v>
      </c>
      <c r="S215" s="105">
        <f t="shared" si="105"/>
        <v>0</v>
      </c>
      <c r="T215" s="105">
        <f t="shared" si="105"/>
        <v>0</v>
      </c>
      <c r="U215" s="105">
        <f t="shared" si="105"/>
        <v>0</v>
      </c>
      <c r="V215" s="105">
        <f t="shared" si="105"/>
        <v>0</v>
      </c>
      <c r="W215" s="105">
        <f t="shared" si="105"/>
        <v>0</v>
      </c>
      <c r="X215" s="105">
        <f t="shared" si="105"/>
        <v>0</v>
      </c>
      <c r="Y215" s="105">
        <f t="shared" si="105"/>
        <v>0</v>
      </c>
      <c r="Z215" s="105">
        <f t="shared" si="105"/>
        <v>0</v>
      </c>
      <c r="AA215" s="105">
        <f t="shared" si="105"/>
        <v>0</v>
      </c>
      <c r="AB215" s="105">
        <f t="shared" si="105"/>
        <v>0</v>
      </c>
      <c r="AC215" s="105">
        <f t="shared" si="105"/>
        <v>0</v>
      </c>
      <c r="AD215" s="105">
        <f t="shared" si="105"/>
        <v>0</v>
      </c>
      <c r="AE215" s="105">
        <f t="shared" si="105"/>
        <v>0</v>
      </c>
      <c r="AF215" s="105">
        <f t="shared" si="105"/>
        <v>0</v>
      </c>
      <c r="AG215" s="105">
        <f t="shared" si="105"/>
        <v>0</v>
      </c>
      <c r="AH215" s="105">
        <f t="shared" si="105"/>
        <v>0</v>
      </c>
      <c r="AI215" s="105">
        <f t="shared" si="105"/>
        <v>0</v>
      </c>
      <c r="AJ215" s="105">
        <f t="shared" si="105"/>
        <v>0</v>
      </c>
      <c r="AK215" s="105">
        <f t="shared" si="105"/>
        <v>0</v>
      </c>
      <c r="AL215" s="105">
        <f t="shared" si="105"/>
        <v>0</v>
      </c>
      <c r="AM215" s="105">
        <f t="shared" si="105"/>
        <v>0</v>
      </c>
      <c r="AN215" s="25"/>
      <c r="AO215" s="25"/>
      <c r="AP215" s="25"/>
      <c r="AQ215" s="25"/>
      <c r="AR215" s="25"/>
      <c r="AS215" s="25"/>
      <c r="AT215" s="25"/>
      <c r="AU215" s="25"/>
      <c r="AV215" s="25"/>
      <c r="AW215" s="25"/>
      <c r="AX215" s="25"/>
      <c r="AY215" s="25"/>
      <c r="AZ215" s="25"/>
    </row>
    <row r="216" spans="1:60" x14ac:dyDescent="0.5">
      <c r="A216" s="25"/>
      <c r="B216" s="25"/>
      <c r="C216" s="25" t="s">
        <v>23</v>
      </c>
      <c r="D216" s="25" t="s">
        <v>131</v>
      </c>
      <c r="E216" s="25"/>
      <c r="F216" s="106" t="s">
        <v>129</v>
      </c>
      <c r="G216" s="25"/>
      <c r="H216" s="25"/>
      <c r="I216" s="25"/>
      <c r="J216" s="104" cm="1">
        <f t="array" ref="J216">IF(J211=0,0,INDEX(capex,MATCH($B121,assetnames,0),J211))</f>
        <v>0</v>
      </c>
      <c r="K216" s="104" cm="1">
        <f t="array" ref="K216">IF(K211=0,0,INDEX(capex,MATCH($B121,assetnames,0),K211))</f>
        <v>0</v>
      </c>
      <c r="L216" s="104" cm="1">
        <f t="array" ref="L216">IF(L211=0,0,INDEX(capex,MATCH($B121,assetnames,0),L211))</f>
        <v>0</v>
      </c>
      <c r="M216" s="104" cm="1">
        <f t="array" ref="M216">IF(M211=0,0,INDEX(capex,MATCH($B121,assetnames,0),M211))</f>
        <v>0</v>
      </c>
      <c r="N216" s="104" cm="1">
        <f t="array" ref="N216">IF(N211=0,0,INDEX(capex,MATCH($B121,assetnames,0),N211))</f>
        <v>0</v>
      </c>
      <c r="O216" s="104" cm="1">
        <f t="array" ref="O216">IF(O211=0,0,INDEX(capex,MATCH($B121,assetnames,0),O211))</f>
        <v>0</v>
      </c>
      <c r="P216" s="104" cm="1">
        <f t="array" ref="P216">IF(P211=0,0,INDEX(capex,MATCH($B121,assetnames,0),P211))</f>
        <v>0</v>
      </c>
      <c r="Q216" s="104" cm="1">
        <f t="array" ref="Q216">IF(Q211=0,0,INDEX(capex,MATCH($B121,assetnames,0),Q211))</f>
        <v>0</v>
      </c>
      <c r="R216" s="104" cm="1">
        <f t="array" ref="R216">IF(R211=0,0,INDEX(capex,MATCH($B121,assetnames,0),R211))</f>
        <v>0</v>
      </c>
      <c r="S216" s="104" cm="1">
        <f t="array" ref="S216">IF(S211=0,0,INDEX(capex,MATCH($B121,assetnames,0),S211))</f>
        <v>0</v>
      </c>
      <c r="T216" s="104" cm="1">
        <f t="array" ref="T216">IF(T211=0,0,INDEX(capex,MATCH($B121,assetnames,0),T211))</f>
        <v>0</v>
      </c>
      <c r="U216" s="104" cm="1">
        <f t="array" ref="U216">IF(U211=0,0,INDEX(capex,MATCH($B121,assetnames,0),U211))</f>
        <v>0</v>
      </c>
      <c r="V216" s="104" cm="1">
        <f t="array" ref="V216">IF(V211=0,0,INDEX(capex,MATCH($B121,assetnames,0),V211))</f>
        <v>0</v>
      </c>
      <c r="W216" s="104" cm="1">
        <f t="array" ref="W216">IF(W211=0,0,INDEX(capex,MATCH($B121,assetnames,0),W211))</f>
        <v>0</v>
      </c>
      <c r="X216" s="104" cm="1">
        <f t="array" ref="X216">IF(X211=0,0,INDEX(capex,MATCH($B121,assetnames,0),X211))</f>
        <v>0</v>
      </c>
      <c r="Y216" s="104" cm="1">
        <f t="array" ref="Y216">IF(Y211=0,0,INDEX(capex,MATCH($B121,assetnames,0),Y211))</f>
        <v>0</v>
      </c>
      <c r="Z216" s="104" cm="1">
        <f t="array" ref="Z216">IF(Z211=0,0,INDEX(capex,MATCH($B121,assetnames,0),Z211))</f>
        <v>0</v>
      </c>
      <c r="AA216" s="104" cm="1">
        <f t="array" ref="AA216">IF(AA211=0,0,INDEX(capex,MATCH($B121,assetnames,0),AA211))</f>
        <v>0</v>
      </c>
      <c r="AB216" s="104" cm="1">
        <f t="array" ref="AB216">IF(AB211=0,0,INDEX(capex,MATCH($B121,assetnames,0),AB211))</f>
        <v>0</v>
      </c>
      <c r="AC216" s="104" cm="1">
        <f t="array" ref="AC216">IF(AC211=0,0,INDEX(capex,MATCH($B121,assetnames,0),AC211))</f>
        <v>0</v>
      </c>
      <c r="AD216" s="104" cm="1">
        <f t="array" ref="AD216">IF(AD211=0,0,INDEX(capex,MATCH($B121,assetnames,0),AD211))</f>
        <v>0</v>
      </c>
      <c r="AE216" s="104" cm="1">
        <f t="array" ref="AE216">IF(AE211=0,0,INDEX(capex,MATCH($B121,assetnames,0),AE211))</f>
        <v>0</v>
      </c>
      <c r="AF216" s="104" cm="1">
        <f t="array" ref="AF216">IF(AF211=0,0,INDEX(capex,MATCH($B121,assetnames,0),AF211))</f>
        <v>0</v>
      </c>
      <c r="AG216" s="104" cm="1">
        <f t="array" ref="AG216">IF(AG211=0,0,INDEX(capex,MATCH($B121,assetnames,0),AG211))</f>
        <v>0</v>
      </c>
      <c r="AH216" s="104" cm="1">
        <f t="array" ref="AH216">IF(AH211=0,0,INDEX(capex,MATCH($B121,assetnames,0),AH211))</f>
        <v>0</v>
      </c>
      <c r="AI216" s="104" cm="1">
        <f t="array" ref="AI216">IF(AI211=0,0,INDEX(capex,MATCH($B121,assetnames,0),AI211))</f>
        <v>0</v>
      </c>
      <c r="AJ216" s="104" cm="1">
        <f t="array" ref="AJ216">IF(AJ211=0,0,INDEX(capex,MATCH($B121,assetnames,0),AJ211))</f>
        <v>0</v>
      </c>
      <c r="AK216" s="104" cm="1">
        <f t="array" ref="AK216">IF(AK211=0,0,INDEX(capex,MATCH($B121,assetnames,0),AK211))</f>
        <v>0</v>
      </c>
      <c r="AL216" s="104" cm="1">
        <f t="array" ref="AL216">IF(AL211=0,0,INDEX(capex,MATCH($B121,assetnames,0),AL211))</f>
        <v>0</v>
      </c>
      <c r="AM216" s="104" cm="1">
        <f t="array" ref="AM216">IF(AM211=0,0,INDEX(capex,MATCH($B121,assetnames,0),AM211))</f>
        <v>0</v>
      </c>
      <c r="AN216" s="25"/>
      <c r="AO216" s="25"/>
      <c r="AP216" s="25"/>
      <c r="AQ216" s="25"/>
      <c r="AR216" s="25"/>
      <c r="AS216" s="25"/>
      <c r="AT216" s="25"/>
      <c r="AU216" s="25"/>
      <c r="AV216" s="25"/>
      <c r="AW216" s="25"/>
      <c r="AX216" s="25"/>
      <c r="AY216" s="25"/>
      <c r="AZ216" s="25"/>
    </row>
    <row r="217" spans="1:60" x14ac:dyDescent="0.5">
      <c r="A217" s="25"/>
      <c r="B217" s="25"/>
      <c r="C217" s="25" t="s">
        <v>24</v>
      </c>
      <c r="D217" s="25" t="s">
        <v>131</v>
      </c>
      <c r="E217" s="25"/>
      <c r="F217" s="121" t="str">
        <f>IF(H218=0,"",INDEX($J$7:$AM$7,1,MATCH(1,$J210:$AM210,0)))</f>
        <v/>
      </c>
      <c r="G217" s="25"/>
      <c r="H217" s="25"/>
      <c r="I217" s="25"/>
      <c r="J217" s="104">
        <f t="shared" ref="J217:AM217" si="106">IF(J207=1,INDEX(opex,MATCH($B121,assetnames,0),J212),0)</f>
        <v>0</v>
      </c>
      <c r="K217" s="104">
        <f t="shared" si="106"/>
        <v>0</v>
      </c>
      <c r="L217" s="104">
        <f t="shared" si="106"/>
        <v>0</v>
      </c>
      <c r="M217" s="104">
        <f t="shared" si="106"/>
        <v>0</v>
      </c>
      <c r="N217" s="104">
        <f t="shared" si="106"/>
        <v>0</v>
      </c>
      <c r="O217" s="104">
        <f t="shared" si="106"/>
        <v>0</v>
      </c>
      <c r="P217" s="104">
        <f t="shared" si="106"/>
        <v>0</v>
      </c>
      <c r="Q217" s="104">
        <f t="shared" si="106"/>
        <v>0</v>
      </c>
      <c r="R217" s="104">
        <f t="shared" si="106"/>
        <v>0</v>
      </c>
      <c r="S217" s="104">
        <f t="shared" si="106"/>
        <v>0</v>
      </c>
      <c r="T217" s="104">
        <f t="shared" si="106"/>
        <v>0</v>
      </c>
      <c r="U217" s="104">
        <f t="shared" si="106"/>
        <v>0</v>
      </c>
      <c r="V217" s="104">
        <f t="shared" si="106"/>
        <v>0</v>
      </c>
      <c r="W217" s="104">
        <f t="shared" si="106"/>
        <v>0</v>
      </c>
      <c r="X217" s="104">
        <f t="shared" si="106"/>
        <v>0</v>
      </c>
      <c r="Y217" s="104">
        <f t="shared" si="106"/>
        <v>0</v>
      </c>
      <c r="Z217" s="104">
        <f t="shared" si="106"/>
        <v>0</v>
      </c>
      <c r="AA217" s="104">
        <f t="shared" si="106"/>
        <v>0</v>
      </c>
      <c r="AB217" s="104">
        <f t="shared" si="106"/>
        <v>0</v>
      </c>
      <c r="AC217" s="104">
        <f t="shared" si="106"/>
        <v>0</v>
      </c>
      <c r="AD217" s="104">
        <f t="shared" si="106"/>
        <v>0</v>
      </c>
      <c r="AE217" s="104">
        <f t="shared" si="106"/>
        <v>0</v>
      </c>
      <c r="AF217" s="104">
        <f t="shared" si="106"/>
        <v>0</v>
      </c>
      <c r="AG217" s="104">
        <f t="shared" si="106"/>
        <v>0</v>
      </c>
      <c r="AH217" s="104">
        <f t="shared" si="106"/>
        <v>0</v>
      </c>
      <c r="AI217" s="104">
        <f t="shared" si="106"/>
        <v>0</v>
      </c>
      <c r="AJ217" s="104">
        <f t="shared" si="106"/>
        <v>0</v>
      </c>
      <c r="AK217" s="104">
        <f t="shared" si="106"/>
        <v>0</v>
      </c>
      <c r="AL217" s="104">
        <f t="shared" si="106"/>
        <v>0</v>
      </c>
      <c r="AM217" s="104">
        <f t="shared" si="106"/>
        <v>0</v>
      </c>
      <c r="AN217" s="25"/>
      <c r="AO217" s="25"/>
      <c r="AP217" s="25"/>
      <c r="AQ217" s="25"/>
      <c r="AR217" s="25"/>
      <c r="AS217" s="25"/>
      <c r="AT217" s="25"/>
      <c r="AU217" s="25"/>
      <c r="AV217" s="25"/>
      <c r="AW217" s="25"/>
      <c r="AX217" s="25"/>
      <c r="AY217" s="25"/>
      <c r="AZ217" s="25"/>
    </row>
    <row r="218" spans="1:60" s="101" customFormat="1" x14ac:dyDescent="0.5">
      <c r="A218" s="26"/>
      <c r="B218" s="26"/>
      <c r="C218" s="26" t="s">
        <v>25</v>
      </c>
      <c r="D218" s="26" t="s">
        <v>131</v>
      </c>
      <c r="E218" s="26"/>
      <c r="F218" s="26"/>
      <c r="G218" s="26"/>
      <c r="H218" s="112">
        <f>J218+NPV(discountrate,K218:AK218)</f>
        <v>0</v>
      </c>
      <c r="I218" s="26"/>
      <c r="J218" s="112">
        <f>SUM(J215:J217)</f>
        <v>0</v>
      </c>
      <c r="K218" s="112">
        <f t="shared" ref="K218:AM218" si="107">SUM(K215:K217)</f>
        <v>0</v>
      </c>
      <c r="L218" s="112">
        <f t="shared" si="107"/>
        <v>0</v>
      </c>
      <c r="M218" s="112">
        <f t="shared" si="107"/>
        <v>0</v>
      </c>
      <c r="N218" s="112">
        <f t="shared" si="107"/>
        <v>0</v>
      </c>
      <c r="O218" s="112">
        <f t="shared" si="107"/>
        <v>0</v>
      </c>
      <c r="P218" s="112">
        <f t="shared" si="107"/>
        <v>0</v>
      </c>
      <c r="Q218" s="112">
        <f t="shared" si="107"/>
        <v>0</v>
      </c>
      <c r="R218" s="112">
        <f t="shared" si="107"/>
        <v>0</v>
      </c>
      <c r="S218" s="112">
        <f t="shared" si="107"/>
        <v>0</v>
      </c>
      <c r="T218" s="112">
        <f t="shared" si="107"/>
        <v>0</v>
      </c>
      <c r="U218" s="112">
        <f t="shared" si="107"/>
        <v>0</v>
      </c>
      <c r="V218" s="112">
        <f t="shared" si="107"/>
        <v>0</v>
      </c>
      <c r="W218" s="112">
        <f t="shared" si="107"/>
        <v>0</v>
      </c>
      <c r="X218" s="112">
        <f t="shared" si="107"/>
        <v>0</v>
      </c>
      <c r="Y218" s="112">
        <f t="shared" si="107"/>
        <v>0</v>
      </c>
      <c r="Z218" s="112">
        <f t="shared" si="107"/>
        <v>0</v>
      </c>
      <c r="AA218" s="112">
        <f t="shared" si="107"/>
        <v>0</v>
      </c>
      <c r="AB218" s="112">
        <f t="shared" si="107"/>
        <v>0</v>
      </c>
      <c r="AC218" s="112">
        <f t="shared" si="107"/>
        <v>0</v>
      </c>
      <c r="AD218" s="112">
        <f t="shared" si="107"/>
        <v>0</v>
      </c>
      <c r="AE218" s="112">
        <f t="shared" si="107"/>
        <v>0</v>
      </c>
      <c r="AF218" s="112">
        <f t="shared" si="107"/>
        <v>0</v>
      </c>
      <c r="AG218" s="112">
        <f t="shared" si="107"/>
        <v>0</v>
      </c>
      <c r="AH218" s="112">
        <f t="shared" si="107"/>
        <v>0</v>
      </c>
      <c r="AI218" s="112">
        <f t="shared" si="107"/>
        <v>0</v>
      </c>
      <c r="AJ218" s="112">
        <f t="shared" si="107"/>
        <v>0</v>
      </c>
      <c r="AK218" s="112">
        <f t="shared" si="107"/>
        <v>0</v>
      </c>
      <c r="AL218" s="112">
        <f t="shared" si="107"/>
        <v>0</v>
      </c>
      <c r="AM218" s="112">
        <f t="shared" si="107"/>
        <v>0</v>
      </c>
      <c r="AN218" s="26"/>
      <c r="AO218" s="26"/>
      <c r="AP218" s="26"/>
      <c r="AQ218" s="26"/>
      <c r="AR218" s="26"/>
      <c r="AS218" s="26"/>
      <c r="AT218" s="26"/>
      <c r="AU218" s="26"/>
      <c r="AV218" s="26"/>
      <c r="AW218" s="26"/>
      <c r="AX218" s="26"/>
      <c r="AY218" s="26"/>
      <c r="AZ218" s="26"/>
    </row>
    <row r="219" spans="1:60" s="101" customFormat="1" x14ac:dyDescent="0.5">
      <c r="A219" s="26"/>
      <c r="B219" s="26"/>
      <c r="C219" s="26"/>
      <c r="D219" s="26"/>
      <c r="E219" s="26"/>
      <c r="F219" s="26"/>
      <c r="G219" s="26"/>
      <c r="H219" s="157"/>
      <c r="I219" s="26"/>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E219" s="157"/>
      <c r="AF219" s="157"/>
      <c r="AG219" s="157"/>
      <c r="AH219" s="157"/>
      <c r="AI219" s="157"/>
      <c r="AJ219" s="157"/>
      <c r="AK219" s="157"/>
      <c r="AL219" s="157"/>
      <c r="AM219" s="157"/>
      <c r="AN219" s="26"/>
      <c r="AO219" s="26"/>
      <c r="AP219" s="26"/>
      <c r="AQ219" s="26"/>
      <c r="AR219" s="26"/>
      <c r="AS219" s="26"/>
      <c r="AT219" s="26"/>
      <c r="AU219" s="26"/>
      <c r="AV219" s="26"/>
      <c r="AW219" s="26"/>
      <c r="AX219" s="26"/>
      <c r="AY219" s="26"/>
      <c r="AZ219" s="26"/>
    </row>
    <row r="220" spans="1:60" s="101" customFormat="1" x14ac:dyDescent="0.5">
      <c r="A220" s="26"/>
      <c r="B220" s="26"/>
      <c r="C220" s="26" t="s">
        <v>147</v>
      </c>
      <c r="D220" s="26"/>
      <c r="E220" s="26"/>
      <c r="F220" s="26"/>
      <c r="G220" s="26"/>
      <c r="H220" s="157"/>
      <c r="I220" s="26"/>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E220" s="157"/>
      <c r="AF220" s="157"/>
      <c r="AG220" s="157"/>
      <c r="AH220" s="157"/>
      <c r="AI220" s="157"/>
      <c r="AJ220" s="157"/>
      <c r="AK220" s="157"/>
      <c r="AL220" s="157"/>
      <c r="AM220" s="157"/>
      <c r="AN220" s="26"/>
      <c r="AO220" s="26"/>
      <c r="AP220" s="26"/>
      <c r="AQ220" s="26"/>
      <c r="AR220" s="26"/>
      <c r="AS220" s="26"/>
      <c r="AT220" s="26"/>
      <c r="AU220" s="26"/>
      <c r="AV220" s="26"/>
      <c r="AW220" s="26"/>
      <c r="AX220" s="26"/>
      <c r="AY220" s="26"/>
      <c r="AZ220" s="26"/>
    </row>
    <row r="221" spans="1:60" s="101" customFormat="1" x14ac:dyDescent="0.5">
      <c r="A221" s="26"/>
      <c r="B221" s="26"/>
      <c r="C221" s="26"/>
      <c r="D221" s="26"/>
      <c r="E221" s="26"/>
      <c r="F221" s="26"/>
      <c r="G221" s="26"/>
      <c r="H221" s="157"/>
      <c r="I221" s="26"/>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E221" s="157"/>
      <c r="AF221" s="157"/>
      <c r="AG221" s="157"/>
      <c r="AH221" s="157"/>
      <c r="AI221" s="157"/>
      <c r="AJ221" s="157"/>
      <c r="AK221" s="157"/>
      <c r="AL221" s="157"/>
      <c r="AM221" s="157"/>
      <c r="AN221" s="26"/>
      <c r="AO221" s="26"/>
      <c r="AP221" s="26"/>
      <c r="AQ221" s="26"/>
      <c r="AR221" s="26"/>
      <c r="AS221" s="26"/>
      <c r="AT221" s="26"/>
      <c r="AU221" s="26"/>
      <c r="AV221" s="26"/>
      <c r="AW221" s="26"/>
      <c r="AX221" s="26"/>
      <c r="AY221" s="26"/>
      <c r="AZ221" s="26"/>
    </row>
    <row r="222" spans="1:60" s="101" customFormat="1" x14ac:dyDescent="0.5">
      <c r="A222" s="26"/>
      <c r="B222" s="26"/>
      <c r="C222" s="25" t="s">
        <v>96</v>
      </c>
      <c r="D222" s="25" t="s">
        <v>35</v>
      </c>
      <c r="E222" s="26"/>
      <c r="F222" s="26"/>
      <c r="G222" s="26"/>
      <c r="H222" s="157"/>
      <c r="I222" s="26"/>
      <c r="J222" s="105">
        <f t="shared" ref="J222:AM222" si="108">INDEX(STPvolumes,MATCH($C222,volumesnames,0),MATCH(J$7,years,0))</f>
        <v>0</v>
      </c>
      <c r="K222" s="105">
        <f t="shared" si="108"/>
        <v>0</v>
      </c>
      <c r="L222" s="105">
        <f t="shared" si="108"/>
        <v>0</v>
      </c>
      <c r="M222" s="105">
        <f t="shared" si="108"/>
        <v>0</v>
      </c>
      <c r="N222" s="105">
        <f t="shared" si="108"/>
        <v>0</v>
      </c>
      <c r="O222" s="105">
        <f t="shared" si="108"/>
        <v>0</v>
      </c>
      <c r="P222" s="105">
        <f t="shared" si="108"/>
        <v>0</v>
      </c>
      <c r="Q222" s="105">
        <f t="shared" si="108"/>
        <v>0</v>
      </c>
      <c r="R222" s="105">
        <f t="shared" si="108"/>
        <v>0</v>
      </c>
      <c r="S222" s="105">
        <f t="shared" si="108"/>
        <v>0</v>
      </c>
      <c r="T222" s="105">
        <f t="shared" si="108"/>
        <v>0</v>
      </c>
      <c r="U222" s="105">
        <f t="shared" si="108"/>
        <v>0</v>
      </c>
      <c r="V222" s="105">
        <f t="shared" si="108"/>
        <v>0</v>
      </c>
      <c r="W222" s="105">
        <f t="shared" si="108"/>
        <v>0</v>
      </c>
      <c r="X222" s="105">
        <f t="shared" si="108"/>
        <v>0</v>
      </c>
      <c r="Y222" s="105">
        <f t="shared" si="108"/>
        <v>0</v>
      </c>
      <c r="Z222" s="105">
        <f t="shared" si="108"/>
        <v>0</v>
      </c>
      <c r="AA222" s="105">
        <f t="shared" si="108"/>
        <v>0</v>
      </c>
      <c r="AB222" s="105">
        <f t="shared" si="108"/>
        <v>0</v>
      </c>
      <c r="AC222" s="105">
        <f t="shared" si="108"/>
        <v>0</v>
      </c>
      <c r="AD222" s="105">
        <f t="shared" si="108"/>
        <v>0</v>
      </c>
      <c r="AE222" s="105">
        <f t="shared" si="108"/>
        <v>0</v>
      </c>
      <c r="AF222" s="105">
        <f t="shared" si="108"/>
        <v>0</v>
      </c>
      <c r="AG222" s="105">
        <f t="shared" si="108"/>
        <v>0</v>
      </c>
      <c r="AH222" s="105">
        <f t="shared" si="108"/>
        <v>0</v>
      </c>
      <c r="AI222" s="105">
        <f t="shared" si="108"/>
        <v>0</v>
      </c>
      <c r="AJ222" s="105">
        <f t="shared" si="108"/>
        <v>0</v>
      </c>
      <c r="AK222" s="105">
        <f t="shared" si="108"/>
        <v>0</v>
      </c>
      <c r="AL222" s="105">
        <f t="shared" si="108"/>
        <v>0</v>
      </c>
      <c r="AM222" s="105">
        <f t="shared" si="108"/>
        <v>0</v>
      </c>
      <c r="AN222" s="26"/>
      <c r="AO222" s="26"/>
      <c r="AP222" s="26"/>
      <c r="AQ222" s="26"/>
      <c r="AR222" s="26"/>
      <c r="AS222" s="26"/>
      <c r="AT222" s="26"/>
      <c r="AU222" s="26"/>
      <c r="AV222" s="26"/>
      <c r="AW222" s="26"/>
      <c r="AX222" s="26"/>
      <c r="AY222" s="26"/>
      <c r="AZ222" s="26"/>
    </row>
    <row r="223" spans="1:60" s="101" customFormat="1" x14ac:dyDescent="0.5">
      <c r="A223" s="26"/>
      <c r="B223" s="26"/>
      <c r="C223" s="25" t="s">
        <v>148</v>
      </c>
      <c r="D223" s="25" t="s">
        <v>150</v>
      </c>
      <c r="E223" s="26"/>
      <c r="F223" s="26"/>
      <c r="G223" s="26"/>
      <c r="H223" s="157"/>
      <c r="I223" s="26"/>
      <c r="J223" s="105">
        <f t="shared" ref="J223:AM223" si="109">INDEX(STPexistingcost,MATCH(J$7,years,0))</f>
        <v>0</v>
      </c>
      <c r="K223" s="105">
        <f t="shared" si="109"/>
        <v>0</v>
      </c>
      <c r="L223" s="105">
        <f t="shared" si="109"/>
        <v>0</v>
      </c>
      <c r="M223" s="105">
        <f t="shared" si="109"/>
        <v>0</v>
      </c>
      <c r="N223" s="105">
        <f t="shared" si="109"/>
        <v>0</v>
      </c>
      <c r="O223" s="105">
        <f t="shared" si="109"/>
        <v>0</v>
      </c>
      <c r="P223" s="105">
        <f t="shared" si="109"/>
        <v>0</v>
      </c>
      <c r="Q223" s="105">
        <f t="shared" si="109"/>
        <v>0</v>
      </c>
      <c r="R223" s="105">
        <f t="shared" si="109"/>
        <v>0</v>
      </c>
      <c r="S223" s="105">
        <f t="shared" si="109"/>
        <v>0</v>
      </c>
      <c r="T223" s="105">
        <f t="shared" si="109"/>
        <v>0</v>
      </c>
      <c r="U223" s="105">
        <f t="shared" si="109"/>
        <v>0</v>
      </c>
      <c r="V223" s="105">
        <f t="shared" si="109"/>
        <v>0</v>
      </c>
      <c r="W223" s="105">
        <f t="shared" si="109"/>
        <v>0</v>
      </c>
      <c r="X223" s="105">
        <f t="shared" si="109"/>
        <v>0</v>
      </c>
      <c r="Y223" s="105">
        <f t="shared" si="109"/>
        <v>0</v>
      </c>
      <c r="Z223" s="105">
        <f t="shared" si="109"/>
        <v>0</v>
      </c>
      <c r="AA223" s="105">
        <f t="shared" si="109"/>
        <v>0</v>
      </c>
      <c r="AB223" s="105">
        <f t="shared" si="109"/>
        <v>0</v>
      </c>
      <c r="AC223" s="105">
        <f t="shared" si="109"/>
        <v>0</v>
      </c>
      <c r="AD223" s="105">
        <f t="shared" si="109"/>
        <v>0</v>
      </c>
      <c r="AE223" s="105">
        <f t="shared" si="109"/>
        <v>0</v>
      </c>
      <c r="AF223" s="105">
        <f t="shared" si="109"/>
        <v>0</v>
      </c>
      <c r="AG223" s="105">
        <f t="shared" si="109"/>
        <v>0</v>
      </c>
      <c r="AH223" s="105">
        <f t="shared" si="109"/>
        <v>0</v>
      </c>
      <c r="AI223" s="105">
        <f t="shared" si="109"/>
        <v>0</v>
      </c>
      <c r="AJ223" s="105">
        <f t="shared" si="109"/>
        <v>0</v>
      </c>
      <c r="AK223" s="105">
        <f t="shared" si="109"/>
        <v>0</v>
      </c>
      <c r="AL223" s="105">
        <f t="shared" si="109"/>
        <v>0</v>
      </c>
      <c r="AM223" s="105">
        <f t="shared" si="109"/>
        <v>0</v>
      </c>
      <c r="AN223" s="26"/>
      <c r="AO223" s="26"/>
      <c r="AP223" s="26"/>
      <c r="AQ223" s="26"/>
      <c r="AR223" s="26"/>
      <c r="AS223" s="26"/>
      <c r="AT223" s="26"/>
      <c r="AU223" s="26"/>
      <c r="AV223" s="26"/>
      <c r="AW223" s="26"/>
      <c r="AX223" s="26"/>
      <c r="AY223" s="26"/>
      <c r="AZ223" s="26"/>
    </row>
    <row r="224" spans="1:60" s="101" customFormat="1" x14ac:dyDescent="0.5">
      <c r="A224" s="26"/>
      <c r="B224" s="26"/>
      <c r="C224" s="26" t="s">
        <v>149</v>
      </c>
      <c r="D224" s="26" t="s">
        <v>150</v>
      </c>
      <c r="E224" s="26"/>
      <c r="F224" s="26"/>
      <c r="G224" s="26"/>
      <c r="H224" s="105">
        <f>J224+NPV(discountrate,K224:AM224)</f>
        <v>0</v>
      </c>
      <c r="I224" s="26"/>
      <c r="J224" s="105">
        <f>J222*J223</f>
        <v>0</v>
      </c>
      <c r="K224" s="105">
        <f t="shared" ref="K224:AM224" si="110">K222*K223</f>
        <v>0</v>
      </c>
      <c r="L224" s="105">
        <f t="shared" si="110"/>
        <v>0</v>
      </c>
      <c r="M224" s="105">
        <f t="shared" si="110"/>
        <v>0</v>
      </c>
      <c r="N224" s="105">
        <f t="shared" si="110"/>
        <v>0</v>
      </c>
      <c r="O224" s="105">
        <f t="shared" si="110"/>
        <v>0</v>
      </c>
      <c r="P224" s="105">
        <f t="shared" si="110"/>
        <v>0</v>
      </c>
      <c r="Q224" s="105">
        <f t="shared" si="110"/>
        <v>0</v>
      </c>
      <c r="R224" s="105">
        <f t="shared" si="110"/>
        <v>0</v>
      </c>
      <c r="S224" s="105">
        <f t="shared" si="110"/>
        <v>0</v>
      </c>
      <c r="T224" s="105">
        <f t="shared" si="110"/>
        <v>0</v>
      </c>
      <c r="U224" s="105">
        <f t="shared" si="110"/>
        <v>0</v>
      </c>
      <c r="V224" s="105">
        <f t="shared" si="110"/>
        <v>0</v>
      </c>
      <c r="W224" s="105">
        <f t="shared" si="110"/>
        <v>0</v>
      </c>
      <c r="X224" s="105">
        <f t="shared" si="110"/>
        <v>0</v>
      </c>
      <c r="Y224" s="105">
        <f t="shared" si="110"/>
        <v>0</v>
      </c>
      <c r="Z224" s="105">
        <f t="shared" si="110"/>
        <v>0</v>
      </c>
      <c r="AA224" s="105">
        <f t="shared" si="110"/>
        <v>0</v>
      </c>
      <c r="AB224" s="105">
        <f t="shared" si="110"/>
        <v>0</v>
      </c>
      <c r="AC224" s="105">
        <f t="shared" si="110"/>
        <v>0</v>
      </c>
      <c r="AD224" s="105">
        <f t="shared" si="110"/>
        <v>0</v>
      </c>
      <c r="AE224" s="105">
        <f t="shared" si="110"/>
        <v>0</v>
      </c>
      <c r="AF224" s="105">
        <f t="shared" si="110"/>
        <v>0</v>
      </c>
      <c r="AG224" s="105">
        <f t="shared" si="110"/>
        <v>0</v>
      </c>
      <c r="AH224" s="105">
        <f t="shared" si="110"/>
        <v>0</v>
      </c>
      <c r="AI224" s="105">
        <f t="shared" si="110"/>
        <v>0</v>
      </c>
      <c r="AJ224" s="105">
        <f t="shared" si="110"/>
        <v>0</v>
      </c>
      <c r="AK224" s="105">
        <f t="shared" si="110"/>
        <v>0</v>
      </c>
      <c r="AL224" s="105">
        <f t="shared" si="110"/>
        <v>0</v>
      </c>
      <c r="AM224" s="105">
        <f t="shared" si="110"/>
        <v>0</v>
      </c>
      <c r="AN224" s="26"/>
      <c r="AO224" s="26"/>
      <c r="AP224" s="26"/>
      <c r="AQ224" s="26"/>
      <c r="AR224" s="26"/>
      <c r="AS224" s="26"/>
      <c r="AT224" s="26"/>
      <c r="AU224" s="26"/>
      <c r="AV224" s="26"/>
      <c r="AW224" s="26"/>
      <c r="AX224" s="26"/>
      <c r="AY224" s="26"/>
      <c r="AZ224" s="26"/>
    </row>
    <row r="225" spans="1:60" x14ac:dyDescent="0.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row>
    <row r="226" spans="1:60" s="67" customFormat="1" ht="35.5" thickBot="1" x14ac:dyDescent="1">
      <c r="A226" s="37"/>
      <c r="B226" s="141" t="str">
        <f>asset3name</f>
        <v>Discharge / ocean outfall upgrade name</v>
      </c>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200"/>
      <c r="AN226" s="200"/>
      <c r="AO226" s="37"/>
      <c r="AP226" s="25"/>
      <c r="AQ226" s="25"/>
      <c r="AR226" s="37"/>
      <c r="AS226" s="37"/>
      <c r="AT226" s="37"/>
      <c r="AU226" s="37"/>
      <c r="AV226" s="37"/>
      <c r="AW226" s="37"/>
      <c r="AX226" s="37"/>
      <c r="AY226" s="37"/>
      <c r="AZ226" s="37"/>
    </row>
    <row r="227" spans="1:60" x14ac:dyDescent="0.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row>
    <row r="228" spans="1:60" ht="32" thickBot="1" x14ac:dyDescent="0.9">
      <c r="A228" s="25"/>
      <c r="B228" s="25"/>
      <c r="C228" s="25"/>
      <c r="D228" s="25"/>
      <c r="E228" s="25"/>
      <c r="F228" s="25"/>
      <c r="G228" s="25"/>
      <c r="H228" s="203" t="s">
        <v>37</v>
      </c>
      <c r="I228" s="203" t="s">
        <v>38</v>
      </c>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row>
    <row r="229" spans="1:60" ht="31.5" x14ac:dyDescent="0.85">
      <c r="A229" s="25"/>
      <c r="B229" s="94"/>
      <c r="C229" s="140" t="str">
        <f>B226</f>
        <v>Discharge / ocean outfall upgrade name</v>
      </c>
      <c r="D229" s="113" t="s">
        <v>114</v>
      </c>
      <c r="E229" s="114"/>
      <c r="F229" s="115"/>
      <c r="G229" s="114"/>
      <c r="H229" s="204" t="e">
        <f>H235</f>
        <v>#DIV/0!</v>
      </c>
      <c r="I229" s="204" t="e">
        <f>H286</f>
        <v>#DIV/0!</v>
      </c>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row>
    <row r="230" spans="1:60" x14ac:dyDescent="0.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row>
    <row r="231" spans="1:60" ht="33" customHeight="1" thickBot="1" x14ac:dyDescent="1">
      <c r="A231" s="24"/>
      <c r="B231" s="25"/>
      <c r="C231" s="205" t="s">
        <v>37</v>
      </c>
      <c r="D231" s="200"/>
      <c r="E231" s="200"/>
      <c r="F231" s="200"/>
      <c r="G231" s="200"/>
      <c r="H231" s="200"/>
      <c r="I231" s="200"/>
      <c r="J231" s="200"/>
      <c r="K231" s="200"/>
      <c r="L231" s="200"/>
      <c r="M231" s="200"/>
      <c r="N231" s="200"/>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13"/>
      <c r="AP231" s="214"/>
      <c r="AQ231" s="214"/>
      <c r="AR231" s="214"/>
      <c r="AS231" s="214"/>
      <c r="AT231" s="214"/>
      <c r="AU231" s="214"/>
      <c r="AV231" s="214"/>
      <c r="AW231" s="214"/>
      <c r="AX231" s="214"/>
      <c r="AY231" s="214"/>
      <c r="AZ231" s="214"/>
    </row>
    <row r="232" spans="1:60" ht="31.5" x14ac:dyDescent="0.85">
      <c r="A232" s="25"/>
      <c r="B232" s="94"/>
      <c r="C232" s="94"/>
      <c r="D232" s="94"/>
      <c r="E232" s="94"/>
      <c r="F232" s="95"/>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row>
    <row r="233" spans="1:60" x14ac:dyDescent="0.5">
      <c r="A233" s="25"/>
      <c r="B233" s="25"/>
      <c r="C233" s="102" t="s">
        <v>28</v>
      </c>
      <c r="D233" s="25"/>
      <c r="E233" s="25"/>
      <c r="F233" s="25"/>
      <c r="G233" s="25"/>
      <c r="H233" s="104">
        <f>(H274-H251)</f>
        <v>0</v>
      </c>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row>
    <row r="234" spans="1:60" x14ac:dyDescent="0.5">
      <c r="A234" s="25"/>
      <c r="B234" s="25"/>
      <c r="C234" s="102" t="s">
        <v>29</v>
      </c>
      <c r="D234" s="25"/>
      <c r="E234" s="25"/>
      <c r="F234" s="25"/>
      <c r="G234" s="25"/>
      <c r="H234" s="104">
        <f>(H270-H247)*1000000</f>
        <v>0</v>
      </c>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row>
    <row r="235" spans="1:60" x14ac:dyDescent="0.5">
      <c r="A235" s="25"/>
      <c r="B235" s="25"/>
      <c r="C235" s="103" t="s">
        <v>27</v>
      </c>
      <c r="D235" s="103" t="s">
        <v>114</v>
      </c>
      <c r="E235" s="26"/>
      <c r="F235" s="25"/>
      <c r="G235" s="25"/>
      <c r="H235" s="105" t="e">
        <f>H233/H234</f>
        <v>#DIV/0!</v>
      </c>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row>
    <row r="236" spans="1:60" x14ac:dyDescent="0.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row>
    <row r="237" spans="1:60" ht="19.5" x14ac:dyDescent="0.55000000000000004">
      <c r="A237" s="25"/>
      <c r="C237" s="97" t="s">
        <v>94</v>
      </c>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row>
    <row r="238" spans="1:60" x14ac:dyDescent="0.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row>
    <row r="239" spans="1:60" x14ac:dyDescent="0.5">
      <c r="A239" s="25"/>
      <c r="B239" s="25"/>
      <c r="C239" s="98" t="s">
        <v>21</v>
      </c>
      <c r="D239" s="99"/>
      <c r="E239" s="99"/>
      <c r="F239" s="25"/>
      <c r="G239" s="25"/>
      <c r="H239" s="99"/>
      <c r="I239" s="25"/>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25"/>
      <c r="AG239" s="25"/>
      <c r="AH239" s="25"/>
      <c r="AI239" s="25"/>
      <c r="AJ239" s="25"/>
      <c r="AK239" s="25"/>
      <c r="AL239" s="25"/>
      <c r="AM239" s="25"/>
      <c r="AN239" s="25"/>
      <c r="AO239" s="25"/>
      <c r="AP239" s="25"/>
      <c r="AQ239" s="25"/>
      <c r="AR239" s="25"/>
      <c r="AS239" s="25"/>
      <c r="AT239" s="25"/>
      <c r="AU239" s="25"/>
      <c r="AV239" s="25"/>
      <c r="AW239" s="25"/>
      <c r="AX239" s="25"/>
      <c r="AY239" s="25"/>
      <c r="AZ239" s="25"/>
    </row>
    <row r="240" spans="1:60" x14ac:dyDescent="0.5">
      <c r="A240" s="25"/>
      <c r="B240" s="25"/>
      <c r="C240" s="98" t="s">
        <v>18</v>
      </c>
      <c r="D240" s="98"/>
      <c r="E240" s="98"/>
      <c r="F240" s="25"/>
      <c r="G240" s="25"/>
      <c r="H240" s="99"/>
      <c r="I240" s="25"/>
      <c r="J240" s="107">
        <f t="shared" ref="J240:AM240" si="111">IF(J247&lt;INDEX(tippingpoints,MATCH($B226,tippingpointnames,0),1),0,1)</f>
        <v>1</v>
      </c>
      <c r="K240" s="107">
        <f t="shared" si="111"/>
        <v>1</v>
      </c>
      <c r="L240" s="107">
        <f t="shared" si="111"/>
        <v>1</v>
      </c>
      <c r="M240" s="107">
        <f t="shared" si="111"/>
        <v>1</v>
      </c>
      <c r="N240" s="107">
        <f t="shared" si="111"/>
        <v>1</v>
      </c>
      <c r="O240" s="107">
        <f t="shared" si="111"/>
        <v>1</v>
      </c>
      <c r="P240" s="107">
        <f t="shared" si="111"/>
        <v>1</v>
      </c>
      <c r="Q240" s="107">
        <f t="shared" si="111"/>
        <v>1</v>
      </c>
      <c r="R240" s="107">
        <f t="shared" si="111"/>
        <v>1</v>
      </c>
      <c r="S240" s="107">
        <f t="shared" si="111"/>
        <v>1</v>
      </c>
      <c r="T240" s="107">
        <f t="shared" si="111"/>
        <v>1</v>
      </c>
      <c r="U240" s="107">
        <f t="shared" si="111"/>
        <v>1</v>
      </c>
      <c r="V240" s="107">
        <f t="shared" si="111"/>
        <v>1</v>
      </c>
      <c r="W240" s="107">
        <f t="shared" si="111"/>
        <v>1</v>
      </c>
      <c r="X240" s="107">
        <f t="shared" si="111"/>
        <v>1</v>
      </c>
      <c r="Y240" s="107">
        <f t="shared" si="111"/>
        <v>1</v>
      </c>
      <c r="Z240" s="107">
        <f t="shared" si="111"/>
        <v>1</v>
      </c>
      <c r="AA240" s="107">
        <f t="shared" si="111"/>
        <v>1</v>
      </c>
      <c r="AB240" s="107">
        <f t="shared" si="111"/>
        <v>1</v>
      </c>
      <c r="AC240" s="107">
        <f t="shared" si="111"/>
        <v>1</v>
      </c>
      <c r="AD240" s="107">
        <f t="shared" si="111"/>
        <v>1</v>
      </c>
      <c r="AE240" s="107">
        <f t="shared" si="111"/>
        <v>1</v>
      </c>
      <c r="AF240" s="107">
        <f t="shared" si="111"/>
        <v>1</v>
      </c>
      <c r="AG240" s="107">
        <f t="shared" si="111"/>
        <v>1</v>
      </c>
      <c r="AH240" s="107">
        <f t="shared" si="111"/>
        <v>1</v>
      </c>
      <c r="AI240" s="107">
        <f t="shared" si="111"/>
        <v>1</v>
      </c>
      <c r="AJ240" s="107">
        <f t="shared" si="111"/>
        <v>1</v>
      </c>
      <c r="AK240" s="107">
        <f t="shared" si="111"/>
        <v>1</v>
      </c>
      <c r="AL240" s="107">
        <f t="shared" si="111"/>
        <v>1</v>
      </c>
      <c r="AM240" s="107">
        <f t="shared" si="111"/>
        <v>1</v>
      </c>
      <c r="AN240" s="25"/>
      <c r="AO240" s="25"/>
      <c r="AP240" s="25"/>
      <c r="AQ240" s="25"/>
      <c r="AR240" s="25"/>
      <c r="AS240" s="25"/>
      <c r="AT240" s="25"/>
      <c r="AU240" s="25"/>
      <c r="AV240" s="25"/>
      <c r="AW240" s="25"/>
      <c r="AX240" s="25"/>
      <c r="AY240" s="25"/>
      <c r="AZ240" s="25"/>
    </row>
    <row r="241" spans="1:60" x14ac:dyDescent="0.5">
      <c r="A241" s="25"/>
      <c r="B241" s="25"/>
      <c r="C241" s="98" t="s">
        <v>19</v>
      </c>
      <c r="D241" s="98"/>
      <c r="E241" s="98"/>
      <c r="F241" s="25"/>
      <c r="G241" s="25"/>
      <c r="H241" s="99"/>
      <c r="I241" s="25"/>
      <c r="J241" s="109">
        <f>IF(SUM($J240:J240)=0,0,1)</f>
        <v>1</v>
      </c>
      <c r="K241" s="109">
        <f>IF(SUM($J240:K240)=0,0,1)</f>
        <v>1</v>
      </c>
      <c r="L241" s="109">
        <f>IF(SUM($J240:L240)=0,0,1)</f>
        <v>1</v>
      </c>
      <c r="M241" s="109">
        <f>IF(SUM($J240:M240)=0,0,1)</f>
        <v>1</v>
      </c>
      <c r="N241" s="109">
        <f>IF(SUM($J240:N240)=0,0,1)</f>
        <v>1</v>
      </c>
      <c r="O241" s="109">
        <f>IF(SUM($J240:O240)=0,0,1)</f>
        <v>1</v>
      </c>
      <c r="P241" s="109">
        <f>IF(SUM($J240:P240)=0,0,1)</f>
        <v>1</v>
      </c>
      <c r="Q241" s="109">
        <f>IF(SUM($J240:Q240)=0,0,1)</f>
        <v>1</v>
      </c>
      <c r="R241" s="109">
        <f>IF(SUM($J240:R240)=0,0,1)</f>
        <v>1</v>
      </c>
      <c r="S241" s="109">
        <f>IF(SUM($J240:S240)=0,0,1)</f>
        <v>1</v>
      </c>
      <c r="T241" s="109">
        <f>IF(SUM($J240:T240)=0,0,1)</f>
        <v>1</v>
      </c>
      <c r="U241" s="109">
        <f>IF(SUM($J240:U240)=0,0,1)</f>
        <v>1</v>
      </c>
      <c r="V241" s="109">
        <f>IF(SUM($J240:V240)=0,0,1)</f>
        <v>1</v>
      </c>
      <c r="W241" s="109">
        <f>IF(SUM($J240:W240)=0,0,1)</f>
        <v>1</v>
      </c>
      <c r="X241" s="109">
        <f>IF(SUM($J240:X240)=0,0,1)</f>
        <v>1</v>
      </c>
      <c r="Y241" s="109">
        <f>IF(SUM($J240:Y240)=0,0,1)</f>
        <v>1</v>
      </c>
      <c r="Z241" s="109">
        <f>IF(SUM($J240:Z240)=0,0,1)</f>
        <v>1</v>
      </c>
      <c r="AA241" s="109">
        <f>IF(SUM($J240:AA240)=0,0,1)</f>
        <v>1</v>
      </c>
      <c r="AB241" s="109">
        <f>IF(SUM($J240:AB240)=0,0,1)</f>
        <v>1</v>
      </c>
      <c r="AC241" s="109">
        <f>IF(SUM($J240:AC240)=0,0,1)</f>
        <v>1</v>
      </c>
      <c r="AD241" s="109">
        <f>IF(SUM($J240:AD240)=0,0,1)</f>
        <v>1</v>
      </c>
      <c r="AE241" s="109">
        <f>IF(SUM($J240:AE240)=0,0,1)</f>
        <v>1</v>
      </c>
      <c r="AF241" s="109">
        <f>IF(SUM($J240:AF240)=0,0,1)</f>
        <v>1</v>
      </c>
      <c r="AG241" s="109">
        <f>IF(SUM($J240:AG240)=0,0,1)</f>
        <v>1</v>
      </c>
      <c r="AH241" s="109">
        <f>IF(SUM($J240:AH240)=0,0,1)</f>
        <v>1</v>
      </c>
      <c r="AI241" s="109">
        <f>IF(SUM($J240:AI240)=0,0,1)</f>
        <v>1</v>
      </c>
      <c r="AJ241" s="109">
        <f>IF(SUM($J240:AJ240)=0,0,1)</f>
        <v>1</v>
      </c>
      <c r="AK241" s="109">
        <f>IF(SUM($J240:AK240)=0,0,1)</f>
        <v>1</v>
      </c>
      <c r="AL241" s="109">
        <f>IF(SUM($J240:AL240)=0,0,1)</f>
        <v>1</v>
      </c>
      <c r="AM241" s="109">
        <f>IF(SUM($J240:AM240)=0,0,1)</f>
        <v>1</v>
      </c>
      <c r="AN241" s="25"/>
      <c r="AO241" s="25"/>
      <c r="AP241" s="25"/>
      <c r="AQ241" s="25"/>
      <c r="AR241" s="25"/>
      <c r="AS241" s="25"/>
      <c r="AT241" s="25"/>
      <c r="AU241" s="25"/>
      <c r="AV241" s="25"/>
      <c r="AW241" s="25"/>
      <c r="AX241" s="25"/>
      <c r="AY241" s="25"/>
      <c r="AZ241" s="25"/>
    </row>
    <row r="242" spans="1:60" x14ac:dyDescent="0.5">
      <c r="A242" s="25"/>
      <c r="B242" s="25"/>
      <c r="C242" s="98" t="s">
        <v>20</v>
      </c>
      <c r="D242" s="98"/>
      <c r="E242" s="98"/>
      <c r="F242" s="25"/>
      <c r="G242" s="25"/>
      <c r="H242" s="99"/>
      <c r="I242" s="25"/>
      <c r="J242" s="109">
        <f>IF($AM241=0,0,IF(AND(J241=0,J240=0),K242-1,0))</f>
        <v>0</v>
      </c>
      <c r="K242" s="109">
        <f t="shared" ref="K242" si="112">IF($AM241=0,0,IF(AND(K241=0,K240=0),L242-1,0))</f>
        <v>0</v>
      </c>
      <c r="L242" s="109">
        <f t="shared" ref="L242" si="113">IF($AM241=0,0,IF(AND(L241=0,L240=0),M242-1,0))</f>
        <v>0</v>
      </c>
      <c r="M242" s="109">
        <f t="shared" ref="M242" si="114">IF($AM241=0,0,IF(AND(M241=0,M240=0),N242-1,0))</f>
        <v>0</v>
      </c>
      <c r="N242" s="109">
        <f t="shared" ref="N242" si="115">IF($AM241=0,0,IF(AND(N241=0,N240=0),O242-1,0))</f>
        <v>0</v>
      </c>
      <c r="O242" s="109">
        <f t="shared" ref="O242" si="116">IF($AM241=0,0,IF(AND(O241=0,O240=0),P242-1,0))</f>
        <v>0</v>
      </c>
      <c r="P242" s="109">
        <f t="shared" ref="P242" si="117">IF($AM241=0,0,IF(AND(P241=0,P240=0),Q242-1,0))</f>
        <v>0</v>
      </c>
      <c r="Q242" s="109">
        <f t="shared" ref="Q242" si="118">IF($AM241=0,0,IF(AND(Q241=0,Q240=0),R242-1,0))</f>
        <v>0</v>
      </c>
      <c r="R242" s="109">
        <f t="shared" ref="R242" si="119">IF($AM241=0,0,IF(AND(R241=0,R240=0),S242-1,0))</f>
        <v>0</v>
      </c>
      <c r="S242" s="109">
        <f t="shared" ref="S242" si="120">IF($AM241=0,0,IF(AND(S241=0,S240=0),T242-1,0))</f>
        <v>0</v>
      </c>
      <c r="T242" s="109">
        <f t="shared" ref="T242" si="121">IF($AM241=0,0,IF(AND(T241=0,T240=0),U242-1,0))</f>
        <v>0</v>
      </c>
      <c r="U242" s="109">
        <f t="shared" ref="U242" si="122">IF($AM241=0,0,IF(AND(U241=0,U240=0),V242-1,0))</f>
        <v>0</v>
      </c>
      <c r="V242" s="109">
        <f t="shared" ref="V242" si="123">IF($AM241=0,0,IF(AND(V241=0,V240=0),W242-1,0))</f>
        <v>0</v>
      </c>
      <c r="W242" s="109">
        <f t="shared" ref="W242" si="124">IF($AM241=0,0,IF(AND(W241=0,W240=0),X242-1,0))</f>
        <v>0</v>
      </c>
      <c r="X242" s="109">
        <f t="shared" ref="X242" si="125">IF($AM241=0,0,IF(AND(X241=0,X240=0),Y242-1,0))</f>
        <v>0</v>
      </c>
      <c r="Y242" s="109">
        <f t="shared" ref="Y242" si="126">IF($AM241=0,0,IF(AND(Y241=0,Y240=0),Z242-1,0))</f>
        <v>0</v>
      </c>
      <c r="Z242" s="109">
        <f t="shared" ref="Z242" si="127">IF($AM241=0,0,IF(AND(Z241=0,Z240=0),AA242-1,0))</f>
        <v>0</v>
      </c>
      <c r="AA242" s="109">
        <f t="shared" ref="AA242" si="128">IF($AM241=0,0,IF(AND(AA241=0,AA240=0),AB242-1,0))</f>
        <v>0</v>
      </c>
      <c r="AB242" s="109">
        <f t="shared" ref="AB242" si="129">IF($AM241=0,0,IF(AND(AB241=0,AB240=0),AC242-1,0))</f>
        <v>0</v>
      </c>
      <c r="AC242" s="109">
        <f t="shared" ref="AC242" si="130">IF($AM241=0,0,IF(AND(AC241=0,AC240=0),AD242-1,0))</f>
        <v>0</v>
      </c>
      <c r="AD242" s="109">
        <f t="shared" ref="AD242" si="131">IF($AM241=0,0,IF(AND(AD241=0,AD240=0),AE242-1,0))</f>
        <v>0</v>
      </c>
      <c r="AE242" s="109">
        <f t="shared" ref="AE242" si="132">IF($AM241=0,0,IF(AND(AE241=0,AE240=0),AF242-1,0))</f>
        <v>0</v>
      </c>
      <c r="AF242" s="109">
        <f t="shared" ref="AF242" si="133">IF($AM241=0,0,IF(AND(AF241=0,AF240=0),AG242-1,0))</f>
        <v>0</v>
      </c>
      <c r="AG242" s="109">
        <f t="shared" ref="AG242" si="134">IF($AM241=0,0,IF(AND(AG241=0,AG240=0),AH242-1,0))</f>
        <v>0</v>
      </c>
      <c r="AH242" s="109">
        <f t="shared" ref="AH242" si="135">IF($AM241=0,0,IF(AND(AH241=0,AH240=0),AI242-1,0))</f>
        <v>0</v>
      </c>
      <c r="AI242" s="109">
        <f t="shared" ref="AI242" si="136">IF($AM241=0,0,IF(AND(AI241=0,AI240=0),AJ242-1,0))</f>
        <v>0</v>
      </c>
      <c r="AJ242" s="109">
        <f t="shared" ref="AJ242" si="137">IF($AM241=0,0,IF(AND(AJ241=0,AJ240=0),AK242-1,0))</f>
        <v>0</v>
      </c>
      <c r="AK242" s="109">
        <f t="shared" ref="AK242" si="138">IF($AM241=0,0,IF(AND(AK241=0,AK240=0),AL242-1,0))</f>
        <v>0</v>
      </c>
      <c r="AL242" s="109">
        <f t="shared" ref="AL242" si="139">IF($AM241=0,0,IF(AND(AL241=0,AL240=0),AM242-1,0))</f>
        <v>0</v>
      </c>
      <c r="AM242" s="109">
        <f t="shared" ref="AM242" si="140">IF($AM241=0,0,IF(AND(AM241=0,AM240=0),AN242-1,0))</f>
        <v>0</v>
      </c>
      <c r="AN242" s="25"/>
      <c r="AO242" s="25"/>
      <c r="AP242" s="25"/>
      <c r="AQ242" s="25"/>
      <c r="AR242" s="25"/>
      <c r="AS242" s="25"/>
      <c r="AT242" s="25"/>
      <c r="AU242" s="25"/>
      <c r="AV242" s="25"/>
      <c r="AW242" s="25"/>
      <c r="AX242" s="25"/>
      <c r="AY242" s="25"/>
      <c r="AZ242" s="25"/>
    </row>
    <row r="243" spans="1:60" x14ac:dyDescent="0.5">
      <c r="A243" s="25"/>
      <c r="B243" s="25"/>
      <c r="C243" s="98" t="s">
        <v>118</v>
      </c>
      <c r="D243" s="98"/>
      <c r="E243" s="98"/>
      <c r="F243" s="108"/>
      <c r="G243" s="98"/>
      <c r="H243" s="99"/>
      <c r="I243" s="99"/>
      <c r="J243" s="109">
        <f t="shared" ref="J243:AM243" si="141">IF(ABS(J242)=INDEX(leadtimes,MATCH($B226,assetnames,0),1),1,0)</f>
        <v>1</v>
      </c>
      <c r="K243" s="109">
        <f t="shared" si="141"/>
        <v>1</v>
      </c>
      <c r="L243" s="109">
        <f t="shared" si="141"/>
        <v>1</v>
      </c>
      <c r="M243" s="109">
        <f t="shared" si="141"/>
        <v>1</v>
      </c>
      <c r="N243" s="109">
        <f t="shared" si="141"/>
        <v>1</v>
      </c>
      <c r="O243" s="109">
        <f t="shared" si="141"/>
        <v>1</v>
      </c>
      <c r="P243" s="109">
        <f t="shared" si="141"/>
        <v>1</v>
      </c>
      <c r="Q243" s="109">
        <f t="shared" si="141"/>
        <v>1</v>
      </c>
      <c r="R243" s="109">
        <f t="shared" si="141"/>
        <v>1</v>
      </c>
      <c r="S243" s="109">
        <f t="shared" si="141"/>
        <v>1</v>
      </c>
      <c r="T243" s="109">
        <f t="shared" si="141"/>
        <v>1</v>
      </c>
      <c r="U243" s="109">
        <f t="shared" si="141"/>
        <v>1</v>
      </c>
      <c r="V243" s="109">
        <f t="shared" si="141"/>
        <v>1</v>
      </c>
      <c r="W243" s="109">
        <f t="shared" si="141"/>
        <v>1</v>
      </c>
      <c r="X243" s="109">
        <f t="shared" si="141"/>
        <v>1</v>
      </c>
      <c r="Y243" s="109">
        <f t="shared" si="141"/>
        <v>1</v>
      </c>
      <c r="Z243" s="109">
        <f t="shared" si="141"/>
        <v>1</v>
      </c>
      <c r="AA243" s="109">
        <f t="shared" si="141"/>
        <v>1</v>
      </c>
      <c r="AB243" s="109">
        <f t="shared" si="141"/>
        <v>1</v>
      </c>
      <c r="AC243" s="109">
        <f t="shared" si="141"/>
        <v>1</v>
      </c>
      <c r="AD243" s="109">
        <f t="shared" si="141"/>
        <v>1</v>
      </c>
      <c r="AE243" s="109">
        <f t="shared" si="141"/>
        <v>1</v>
      </c>
      <c r="AF243" s="109">
        <f t="shared" si="141"/>
        <v>1</v>
      </c>
      <c r="AG243" s="109">
        <f t="shared" si="141"/>
        <v>1</v>
      </c>
      <c r="AH243" s="109">
        <f t="shared" si="141"/>
        <v>1</v>
      </c>
      <c r="AI243" s="109">
        <f t="shared" si="141"/>
        <v>1</v>
      </c>
      <c r="AJ243" s="109">
        <f t="shared" si="141"/>
        <v>1</v>
      </c>
      <c r="AK243" s="109">
        <f t="shared" si="141"/>
        <v>1</v>
      </c>
      <c r="AL243" s="109">
        <f t="shared" si="141"/>
        <v>1</v>
      </c>
      <c r="AM243" s="109">
        <f t="shared" si="141"/>
        <v>1</v>
      </c>
      <c r="AN243" s="109"/>
      <c r="AO243" s="109"/>
      <c r="AP243" s="109"/>
      <c r="AQ243" s="109"/>
      <c r="AR243" s="109"/>
      <c r="AS243" s="109"/>
      <c r="AT243" s="109"/>
      <c r="AU243" s="109"/>
      <c r="AV243" s="109"/>
      <c r="AW243" s="109"/>
      <c r="AX243" s="109"/>
      <c r="AY243" s="109"/>
      <c r="AZ243" s="109"/>
      <c r="BA243" s="109"/>
      <c r="BB243" s="109"/>
      <c r="BC243" s="109"/>
      <c r="BD243" s="109"/>
      <c r="BE243" s="100"/>
      <c r="BF243" s="100"/>
      <c r="BG243" s="100"/>
      <c r="BH243" s="100"/>
    </row>
    <row r="244" spans="1:60" x14ac:dyDescent="0.5">
      <c r="A244" s="25"/>
      <c r="B244" s="25"/>
      <c r="C244" s="98" t="s">
        <v>119</v>
      </c>
      <c r="D244" s="98"/>
      <c r="E244" s="98"/>
      <c r="F244" s="108"/>
      <c r="G244" s="98"/>
      <c r="H244" s="99"/>
      <c r="I244" s="99"/>
      <c r="J244" s="109">
        <f>IF(SUM($J243:J243)=1,1,0)+I244</f>
        <v>1</v>
      </c>
      <c r="K244" s="109">
        <f>IF(SUM($J243:K243)=1,1,0)+J244</f>
        <v>1</v>
      </c>
      <c r="L244" s="109">
        <f>IF(SUM($J243:L243)=1,1,0)+K244</f>
        <v>1</v>
      </c>
      <c r="M244" s="109">
        <f>IF(SUM($J243:M243)=1,1,0)+L244</f>
        <v>1</v>
      </c>
      <c r="N244" s="109">
        <f>IF(SUM($J243:N243)=1,1,0)+M244</f>
        <v>1</v>
      </c>
      <c r="O244" s="109">
        <f>IF(SUM($J243:O243)=1,1,0)+N244</f>
        <v>1</v>
      </c>
      <c r="P244" s="109">
        <f>IF(SUM($J243:P243)=1,1,0)+O244</f>
        <v>1</v>
      </c>
      <c r="Q244" s="109">
        <f>IF(SUM($J243:Q243)=1,1,0)+P244</f>
        <v>1</v>
      </c>
      <c r="R244" s="109">
        <f>IF(SUM($J243:R243)=1,1,0)+Q244</f>
        <v>1</v>
      </c>
      <c r="S244" s="109">
        <f>IF(SUM($J243:S243)=1,1,0)+R244</f>
        <v>1</v>
      </c>
      <c r="T244" s="109">
        <f>IF(SUM($J243:T243)=1,1,0)+S244</f>
        <v>1</v>
      </c>
      <c r="U244" s="109">
        <f>IF(SUM($J243:U243)=1,1,0)+T244</f>
        <v>1</v>
      </c>
      <c r="V244" s="109">
        <f>IF(SUM($J243:V243)=1,1,0)+U244</f>
        <v>1</v>
      </c>
      <c r="W244" s="109">
        <f>IF(SUM($J243:W243)=1,1,0)+V244</f>
        <v>1</v>
      </c>
      <c r="X244" s="109">
        <f>IF(SUM($J243:X243)=1,1,0)+W244</f>
        <v>1</v>
      </c>
      <c r="Y244" s="109">
        <f>IF(SUM($J243:Y243)=1,1,0)+X244</f>
        <v>1</v>
      </c>
      <c r="Z244" s="109">
        <f>IF(SUM($J243:Z243)=1,1,0)+Y244</f>
        <v>1</v>
      </c>
      <c r="AA244" s="109">
        <f>IF(SUM($J243:AA243)=1,1,0)+Z244</f>
        <v>1</v>
      </c>
      <c r="AB244" s="109">
        <f>IF(SUM($J243:AB243)=1,1,0)+AA244</f>
        <v>1</v>
      </c>
      <c r="AC244" s="109">
        <f>IF(SUM($J243:AC243)=1,1,0)+AB244</f>
        <v>1</v>
      </c>
      <c r="AD244" s="109">
        <f>IF(SUM($J243:AD243)=1,1,0)+AC244</f>
        <v>1</v>
      </c>
      <c r="AE244" s="109">
        <f>IF(SUM($J243:AE243)=1,1,0)+AD244</f>
        <v>1</v>
      </c>
      <c r="AF244" s="109">
        <f>IF(SUM($J243:AF243)=1,1,0)+AE244</f>
        <v>1</v>
      </c>
      <c r="AG244" s="109">
        <f>IF(SUM($J243:AG243)=1,1,0)+AF244</f>
        <v>1</v>
      </c>
      <c r="AH244" s="109">
        <f>IF(SUM($J243:AH243)=1,1,0)+AG244</f>
        <v>1</v>
      </c>
      <c r="AI244" s="109">
        <f>IF(SUM($J243:AI243)=1,1,0)+AH244</f>
        <v>1</v>
      </c>
      <c r="AJ244" s="109">
        <f>IF(SUM($J243:AJ243)=1,1,0)+AI244</f>
        <v>1</v>
      </c>
      <c r="AK244" s="109">
        <f>IF(SUM($J243:AK243)=1,1,0)+AJ244</f>
        <v>1</v>
      </c>
      <c r="AL244" s="109">
        <f>IF(SUM($J243:AL243)=1,1,0)+AK244</f>
        <v>1</v>
      </c>
      <c r="AM244" s="109">
        <f>IF(SUM($J243:AM243)=1,1,0)+AL244</f>
        <v>1</v>
      </c>
      <c r="AN244" s="109"/>
      <c r="AO244" s="109"/>
      <c r="AP244" s="109"/>
      <c r="AQ244" s="109"/>
      <c r="AR244" s="109"/>
      <c r="AS244" s="109"/>
      <c r="AT244" s="109"/>
      <c r="AU244" s="109"/>
      <c r="AV244" s="109"/>
      <c r="AW244" s="109"/>
      <c r="AX244" s="109"/>
      <c r="AY244" s="109"/>
      <c r="AZ244" s="109"/>
      <c r="BA244" s="109"/>
      <c r="BB244" s="109"/>
      <c r="BC244" s="109"/>
      <c r="BD244" s="109"/>
      <c r="BE244" s="100"/>
      <c r="BF244" s="100"/>
      <c r="BG244" s="100"/>
      <c r="BH244" s="100"/>
    </row>
    <row r="245" spans="1:60" ht="15.65" customHeight="1" x14ac:dyDescent="0.5">
      <c r="A245" s="25"/>
      <c r="B245" s="25"/>
      <c r="C245" s="98" t="s">
        <v>117</v>
      </c>
      <c r="D245" s="99"/>
      <c r="E245" s="99"/>
      <c r="F245" s="106"/>
      <c r="G245" s="99"/>
      <c r="H245" s="99"/>
      <c r="I245" s="99"/>
      <c r="J245" s="107">
        <f>SUM($J240:J240)</f>
        <v>1</v>
      </c>
      <c r="K245" s="107">
        <f>SUM($J240:K240)</f>
        <v>2</v>
      </c>
      <c r="L245" s="107">
        <f>SUM($J240:L240)</f>
        <v>3</v>
      </c>
      <c r="M245" s="107">
        <f>SUM($J240:M240)</f>
        <v>4</v>
      </c>
      <c r="N245" s="107">
        <f>SUM($J240:N240)</f>
        <v>5</v>
      </c>
      <c r="O245" s="107">
        <f>SUM($J240:O240)</f>
        <v>6</v>
      </c>
      <c r="P245" s="107">
        <f>SUM($J240:P240)</f>
        <v>7</v>
      </c>
      <c r="Q245" s="107">
        <f>SUM($J240:Q240)</f>
        <v>8</v>
      </c>
      <c r="R245" s="107">
        <f>SUM($J240:R240)</f>
        <v>9</v>
      </c>
      <c r="S245" s="107">
        <f>SUM($J240:S240)</f>
        <v>10</v>
      </c>
      <c r="T245" s="107">
        <f>SUM($J240:T240)</f>
        <v>11</v>
      </c>
      <c r="U245" s="107">
        <f>SUM($J240:U240)</f>
        <v>12</v>
      </c>
      <c r="V245" s="107">
        <f>SUM($J240:V240)</f>
        <v>13</v>
      </c>
      <c r="W245" s="107">
        <f>SUM($J240:W240)</f>
        <v>14</v>
      </c>
      <c r="X245" s="107">
        <f>SUM($J240:X240)</f>
        <v>15</v>
      </c>
      <c r="Y245" s="107">
        <f>SUM($J240:Y240)</f>
        <v>16</v>
      </c>
      <c r="Z245" s="107">
        <f>SUM($J240:Z240)</f>
        <v>17</v>
      </c>
      <c r="AA245" s="107">
        <f>SUM($J240:AA240)</f>
        <v>18</v>
      </c>
      <c r="AB245" s="107">
        <f>SUM($J240:AB240)</f>
        <v>19</v>
      </c>
      <c r="AC245" s="107">
        <f>SUM($J240:AC240)</f>
        <v>20</v>
      </c>
      <c r="AD245" s="107">
        <f>SUM($J240:AD240)</f>
        <v>21</v>
      </c>
      <c r="AE245" s="107">
        <f>SUM($J240:AE240)</f>
        <v>22</v>
      </c>
      <c r="AF245" s="107">
        <f>SUM($J240:AF240)</f>
        <v>23</v>
      </c>
      <c r="AG245" s="107">
        <f>SUM($J240:AG240)</f>
        <v>24</v>
      </c>
      <c r="AH245" s="107">
        <f>SUM($J240:AH240)</f>
        <v>25</v>
      </c>
      <c r="AI245" s="107">
        <f>SUM($J240:AI240)</f>
        <v>26</v>
      </c>
      <c r="AJ245" s="107">
        <f>SUM($J240:AJ240)</f>
        <v>27</v>
      </c>
      <c r="AK245" s="107">
        <f>SUM($J240:AK240)</f>
        <v>28</v>
      </c>
      <c r="AL245" s="107">
        <f>SUM($J240:AL240)</f>
        <v>29</v>
      </c>
      <c r="AM245" s="107">
        <f>SUM($J240:AM240)</f>
        <v>30</v>
      </c>
      <c r="AN245" s="107"/>
      <c r="AO245" s="107"/>
      <c r="AP245" s="107"/>
      <c r="AQ245" s="107"/>
      <c r="AR245" s="107"/>
      <c r="AS245" s="107"/>
      <c r="AT245" s="107"/>
      <c r="AU245" s="107"/>
      <c r="AV245" s="107"/>
      <c r="AW245" s="107"/>
      <c r="AX245" s="107"/>
      <c r="AY245" s="107"/>
      <c r="AZ245" s="107"/>
      <c r="BA245" s="107"/>
      <c r="BB245" s="107"/>
      <c r="BC245" s="107"/>
      <c r="BD245" s="107"/>
      <c r="BE245" s="107"/>
      <c r="BF245" s="107"/>
      <c r="BG245" s="107"/>
      <c r="BH245" s="107"/>
    </row>
    <row r="246" spans="1:60" x14ac:dyDescent="0.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row>
    <row r="247" spans="1:60" x14ac:dyDescent="0.5">
      <c r="A247" s="25"/>
      <c r="B247" s="25"/>
      <c r="C247" s="25" t="s">
        <v>94</v>
      </c>
      <c r="D247" s="25" t="s">
        <v>1</v>
      </c>
      <c r="E247" s="25"/>
      <c r="G247" s="25"/>
      <c r="H247" s="105">
        <f>J247+NPV(discountrate,K247:AK247)</f>
        <v>0</v>
      </c>
      <c r="I247" s="25"/>
      <c r="J247" s="105">
        <f t="shared" ref="J247:AM247" si="142">INDEX(dischargevolumes,MATCH($C247,volumesnames,0),MATCH(J$7,years,0))</f>
        <v>0</v>
      </c>
      <c r="K247" s="105">
        <f t="shared" si="142"/>
        <v>0</v>
      </c>
      <c r="L247" s="105">
        <f t="shared" si="142"/>
        <v>0</v>
      </c>
      <c r="M247" s="105">
        <f t="shared" si="142"/>
        <v>0</v>
      </c>
      <c r="N247" s="105">
        <f t="shared" si="142"/>
        <v>0</v>
      </c>
      <c r="O247" s="105">
        <f t="shared" si="142"/>
        <v>0</v>
      </c>
      <c r="P247" s="105">
        <f t="shared" si="142"/>
        <v>0</v>
      </c>
      <c r="Q247" s="105">
        <f t="shared" si="142"/>
        <v>0</v>
      </c>
      <c r="R247" s="105">
        <f t="shared" si="142"/>
        <v>0</v>
      </c>
      <c r="S247" s="105">
        <f t="shared" si="142"/>
        <v>0</v>
      </c>
      <c r="T247" s="105">
        <f t="shared" si="142"/>
        <v>0</v>
      </c>
      <c r="U247" s="105">
        <f t="shared" si="142"/>
        <v>0</v>
      </c>
      <c r="V247" s="105">
        <f t="shared" si="142"/>
        <v>0</v>
      </c>
      <c r="W247" s="105">
        <f t="shared" si="142"/>
        <v>0</v>
      </c>
      <c r="X247" s="105">
        <f t="shared" si="142"/>
        <v>0</v>
      </c>
      <c r="Y247" s="105">
        <f t="shared" si="142"/>
        <v>0</v>
      </c>
      <c r="Z247" s="105">
        <f t="shared" si="142"/>
        <v>0</v>
      </c>
      <c r="AA247" s="105">
        <f t="shared" si="142"/>
        <v>0</v>
      </c>
      <c r="AB247" s="105">
        <f t="shared" si="142"/>
        <v>0</v>
      </c>
      <c r="AC247" s="105">
        <f t="shared" si="142"/>
        <v>0</v>
      </c>
      <c r="AD247" s="105">
        <f t="shared" si="142"/>
        <v>0</v>
      </c>
      <c r="AE247" s="105">
        <f t="shared" si="142"/>
        <v>0</v>
      </c>
      <c r="AF247" s="105">
        <f t="shared" si="142"/>
        <v>0</v>
      </c>
      <c r="AG247" s="105">
        <f t="shared" si="142"/>
        <v>0</v>
      </c>
      <c r="AH247" s="105">
        <f t="shared" si="142"/>
        <v>0</v>
      </c>
      <c r="AI247" s="105">
        <f t="shared" si="142"/>
        <v>0</v>
      </c>
      <c r="AJ247" s="105">
        <f t="shared" si="142"/>
        <v>0</v>
      </c>
      <c r="AK247" s="105">
        <f t="shared" si="142"/>
        <v>0</v>
      </c>
      <c r="AL247" s="105">
        <f t="shared" si="142"/>
        <v>0</v>
      </c>
      <c r="AM247" s="105">
        <f t="shared" si="142"/>
        <v>0</v>
      </c>
      <c r="AN247" s="25"/>
      <c r="AO247" s="25"/>
      <c r="AP247" s="25"/>
      <c r="AQ247" s="25"/>
      <c r="AR247" s="25"/>
      <c r="AS247" s="25"/>
      <c r="AT247" s="25"/>
      <c r="AU247" s="25"/>
      <c r="AV247" s="25"/>
      <c r="AW247" s="25"/>
      <c r="AX247" s="25"/>
      <c r="AY247" s="25"/>
      <c r="AZ247" s="25"/>
    </row>
    <row r="248" spans="1:60" x14ac:dyDescent="0.5">
      <c r="A248" s="25"/>
      <c r="B248" s="25"/>
      <c r="C248" s="25" t="s">
        <v>147</v>
      </c>
      <c r="D248" s="25" t="s">
        <v>150</v>
      </c>
      <c r="E248" s="25"/>
      <c r="F248" s="106"/>
      <c r="G248" s="25"/>
      <c r="H248" s="25"/>
      <c r="I248" s="25"/>
      <c r="J248" s="105">
        <f>J257</f>
        <v>0</v>
      </c>
      <c r="K248" s="105">
        <f t="shared" ref="K248:AM248" si="143">K257</f>
        <v>0</v>
      </c>
      <c r="L248" s="105">
        <f t="shared" si="143"/>
        <v>0</v>
      </c>
      <c r="M248" s="105">
        <f t="shared" si="143"/>
        <v>0</v>
      </c>
      <c r="N248" s="105">
        <f t="shared" si="143"/>
        <v>0</v>
      </c>
      <c r="O248" s="105">
        <f t="shared" si="143"/>
        <v>0</v>
      </c>
      <c r="P248" s="105">
        <f t="shared" si="143"/>
        <v>0</v>
      </c>
      <c r="Q248" s="105">
        <f t="shared" si="143"/>
        <v>0</v>
      </c>
      <c r="R248" s="105">
        <f t="shared" si="143"/>
        <v>0</v>
      </c>
      <c r="S248" s="105">
        <f t="shared" si="143"/>
        <v>0</v>
      </c>
      <c r="T248" s="105">
        <f t="shared" si="143"/>
        <v>0</v>
      </c>
      <c r="U248" s="105">
        <f t="shared" si="143"/>
        <v>0</v>
      </c>
      <c r="V248" s="105">
        <f t="shared" si="143"/>
        <v>0</v>
      </c>
      <c r="W248" s="105">
        <f t="shared" si="143"/>
        <v>0</v>
      </c>
      <c r="X248" s="105">
        <f t="shared" si="143"/>
        <v>0</v>
      </c>
      <c r="Y248" s="105">
        <f t="shared" si="143"/>
        <v>0</v>
      </c>
      <c r="Z248" s="105">
        <f t="shared" si="143"/>
        <v>0</v>
      </c>
      <c r="AA248" s="105">
        <f t="shared" si="143"/>
        <v>0</v>
      </c>
      <c r="AB248" s="105">
        <f t="shared" si="143"/>
        <v>0</v>
      </c>
      <c r="AC248" s="105">
        <f t="shared" si="143"/>
        <v>0</v>
      </c>
      <c r="AD248" s="105">
        <f t="shared" si="143"/>
        <v>0</v>
      </c>
      <c r="AE248" s="105">
        <f t="shared" si="143"/>
        <v>0</v>
      </c>
      <c r="AF248" s="105">
        <f t="shared" si="143"/>
        <v>0</v>
      </c>
      <c r="AG248" s="105">
        <f t="shared" si="143"/>
        <v>0</v>
      </c>
      <c r="AH248" s="105">
        <f t="shared" si="143"/>
        <v>0</v>
      </c>
      <c r="AI248" s="105">
        <f t="shared" si="143"/>
        <v>0</v>
      </c>
      <c r="AJ248" s="105">
        <f t="shared" si="143"/>
        <v>0</v>
      </c>
      <c r="AK248" s="105">
        <f t="shared" si="143"/>
        <v>0</v>
      </c>
      <c r="AL248" s="105">
        <f t="shared" si="143"/>
        <v>0</v>
      </c>
      <c r="AM248" s="105">
        <f t="shared" si="143"/>
        <v>0</v>
      </c>
      <c r="AN248" s="25"/>
      <c r="AO248" s="25"/>
      <c r="AP248" s="25"/>
      <c r="AQ248" s="25"/>
      <c r="AR248" s="25"/>
      <c r="AS248" s="25"/>
      <c r="AT248" s="25"/>
      <c r="AU248" s="25"/>
      <c r="AV248" s="25"/>
      <c r="AW248" s="25"/>
      <c r="AX248" s="25"/>
      <c r="AY248" s="25"/>
      <c r="AZ248" s="25"/>
    </row>
    <row r="249" spans="1:60" x14ac:dyDescent="0.5">
      <c r="A249" s="25"/>
      <c r="B249" s="25"/>
      <c r="C249" s="25" t="s">
        <v>23</v>
      </c>
      <c r="D249" s="25" t="s">
        <v>131</v>
      </c>
      <c r="E249" s="25"/>
      <c r="F249" s="106" t="s">
        <v>129</v>
      </c>
      <c r="G249" s="25"/>
      <c r="I249" s="25"/>
      <c r="J249" s="104" cm="1">
        <f t="array" ref="J249">IF(J244=0,0,INDEX(capex,MATCH($B226,assetnames,0),J244))</f>
        <v>0</v>
      </c>
      <c r="K249" s="104" cm="1">
        <f t="array" ref="K249">IF(K244=0,0,INDEX(capex,MATCH($B226,assetnames,0),K244))</f>
        <v>0</v>
      </c>
      <c r="L249" s="104" cm="1">
        <f t="array" ref="L249">IF(L244=0,0,INDEX(capex,MATCH($B226,assetnames,0),L244))</f>
        <v>0</v>
      </c>
      <c r="M249" s="104" cm="1">
        <f t="array" ref="M249">IF(M244=0,0,INDEX(capex,MATCH($B226,assetnames,0),M244))</f>
        <v>0</v>
      </c>
      <c r="N249" s="104" cm="1">
        <f t="array" ref="N249">IF(N244=0,0,INDEX(capex,MATCH($B226,assetnames,0),N244))</f>
        <v>0</v>
      </c>
      <c r="O249" s="104" cm="1">
        <f t="array" ref="O249">IF(O244=0,0,INDEX(capex,MATCH($B226,assetnames,0),O244))</f>
        <v>0</v>
      </c>
      <c r="P249" s="104" cm="1">
        <f t="array" ref="P249">IF(P244=0,0,INDEX(capex,MATCH($B226,assetnames,0),P244))</f>
        <v>0</v>
      </c>
      <c r="Q249" s="104" cm="1">
        <f t="array" ref="Q249">IF(Q244=0,0,INDEX(capex,MATCH($B226,assetnames,0),Q244))</f>
        <v>0</v>
      </c>
      <c r="R249" s="104" cm="1">
        <f t="array" ref="R249">IF(R244=0,0,INDEX(capex,MATCH($B226,assetnames,0),R244))</f>
        <v>0</v>
      </c>
      <c r="S249" s="104" cm="1">
        <f t="array" ref="S249">IF(S244=0,0,INDEX(capex,MATCH($B226,assetnames,0),S244))</f>
        <v>0</v>
      </c>
      <c r="T249" s="104" cm="1">
        <f t="array" ref="T249">IF(T244=0,0,INDEX(capex,MATCH($B226,assetnames,0),T244))</f>
        <v>0</v>
      </c>
      <c r="U249" s="104" cm="1">
        <f t="array" ref="U249">IF(U244=0,0,INDEX(capex,MATCH($B226,assetnames,0),U244))</f>
        <v>0</v>
      </c>
      <c r="V249" s="104" cm="1">
        <f t="array" ref="V249">IF(V244=0,0,INDEX(capex,MATCH($B226,assetnames,0),V244))</f>
        <v>0</v>
      </c>
      <c r="W249" s="104" cm="1">
        <f t="array" ref="W249">IF(W244=0,0,INDEX(capex,MATCH($B226,assetnames,0),W244))</f>
        <v>0</v>
      </c>
      <c r="X249" s="104" cm="1">
        <f t="array" ref="X249">IF(X244=0,0,INDEX(capex,MATCH($B226,assetnames,0),X244))</f>
        <v>0</v>
      </c>
      <c r="Y249" s="104" cm="1">
        <f t="array" ref="Y249">IF(Y244=0,0,INDEX(capex,MATCH($B226,assetnames,0),Y244))</f>
        <v>0</v>
      </c>
      <c r="Z249" s="104" cm="1">
        <f t="array" ref="Z249">IF(Z244=0,0,INDEX(capex,MATCH($B226,assetnames,0),Z244))</f>
        <v>0</v>
      </c>
      <c r="AA249" s="104" cm="1">
        <f t="array" ref="AA249">IF(AA244=0,0,INDEX(capex,MATCH($B226,assetnames,0),AA244))</f>
        <v>0</v>
      </c>
      <c r="AB249" s="104" cm="1">
        <f t="array" ref="AB249">IF(AB244=0,0,INDEX(capex,MATCH($B226,assetnames,0),AB244))</f>
        <v>0</v>
      </c>
      <c r="AC249" s="104" cm="1">
        <f t="array" ref="AC249">IF(AC244=0,0,INDEX(capex,MATCH($B226,assetnames,0),AC244))</f>
        <v>0</v>
      </c>
      <c r="AD249" s="104" cm="1">
        <f t="array" ref="AD249">IF(AD244=0,0,INDEX(capex,MATCH($B226,assetnames,0),AD244))</f>
        <v>0</v>
      </c>
      <c r="AE249" s="104" cm="1">
        <f t="array" ref="AE249">IF(AE244=0,0,INDEX(capex,MATCH($B226,assetnames,0),AE244))</f>
        <v>0</v>
      </c>
      <c r="AF249" s="104" cm="1">
        <f t="array" ref="AF249">IF(AF244=0,0,INDEX(capex,MATCH($B226,assetnames,0),AF244))</f>
        <v>0</v>
      </c>
      <c r="AG249" s="104" cm="1">
        <f t="array" ref="AG249">IF(AG244=0,0,INDEX(capex,MATCH($B226,assetnames,0),AG244))</f>
        <v>0</v>
      </c>
      <c r="AH249" s="104" cm="1">
        <f t="array" ref="AH249">IF(AH244=0,0,INDEX(capex,MATCH($B226,assetnames,0),AH244))</f>
        <v>0</v>
      </c>
      <c r="AI249" s="104" cm="1">
        <f t="array" ref="AI249">IF(AI244=0,0,INDEX(capex,MATCH($B226,assetnames,0),AI244))</f>
        <v>0</v>
      </c>
      <c r="AJ249" s="104" cm="1">
        <f t="array" ref="AJ249">IF(AJ244=0,0,INDEX(capex,MATCH($B226,assetnames,0),AJ244))</f>
        <v>0</v>
      </c>
      <c r="AK249" s="104" cm="1">
        <f t="array" ref="AK249">IF(AK244=0,0,INDEX(capex,MATCH($B226,assetnames,0),AK244))</f>
        <v>0</v>
      </c>
      <c r="AL249" s="104" cm="1">
        <f t="array" ref="AL249">IF(AL244=0,0,INDEX(capex,MATCH($B226,assetnames,0),AL244))</f>
        <v>0</v>
      </c>
      <c r="AM249" s="104" cm="1">
        <f t="array" ref="AM249">IF(AM244=0,0,INDEX(capex,MATCH($B226,assetnames,0),AM244))</f>
        <v>0</v>
      </c>
      <c r="AN249" s="25"/>
      <c r="AO249" s="25"/>
      <c r="AP249" s="25"/>
      <c r="AQ249" s="25"/>
      <c r="AR249" s="25"/>
      <c r="AS249" s="25"/>
      <c r="AT249" s="25"/>
      <c r="AU249" s="25"/>
      <c r="AV249" s="25"/>
      <c r="AW249" s="25"/>
      <c r="AX249" s="25"/>
      <c r="AY249" s="25"/>
      <c r="AZ249" s="25"/>
    </row>
    <row r="250" spans="1:60" x14ac:dyDescent="0.5">
      <c r="A250" s="25"/>
      <c r="B250" s="25"/>
      <c r="C250" s="25" t="s">
        <v>24</v>
      </c>
      <c r="D250" s="25" t="s">
        <v>131</v>
      </c>
      <c r="E250" s="25"/>
      <c r="F250" s="121" t="str">
        <f>IF(H251=0,"",INDEX($J$7:$AM$7,1,MATCH(1,$J243:$AM243,0)))</f>
        <v/>
      </c>
      <c r="G250" s="25"/>
      <c r="H250" s="25"/>
      <c r="I250" s="25"/>
      <c r="J250" s="104">
        <f t="shared" ref="J250:AM250" si="144">IF(J240=1,INDEX(opex,MATCH($B226,assetnames,0),J245),0)</f>
        <v>0</v>
      </c>
      <c r="K250" s="104">
        <f t="shared" si="144"/>
        <v>0</v>
      </c>
      <c r="L250" s="104">
        <f t="shared" si="144"/>
        <v>0</v>
      </c>
      <c r="M250" s="104">
        <f t="shared" si="144"/>
        <v>0</v>
      </c>
      <c r="N250" s="104">
        <f t="shared" si="144"/>
        <v>0</v>
      </c>
      <c r="O250" s="104">
        <f t="shared" si="144"/>
        <v>0</v>
      </c>
      <c r="P250" s="104">
        <f t="shared" si="144"/>
        <v>0</v>
      </c>
      <c r="Q250" s="104">
        <f t="shared" si="144"/>
        <v>0</v>
      </c>
      <c r="R250" s="104">
        <f t="shared" si="144"/>
        <v>0</v>
      </c>
      <c r="S250" s="104">
        <f t="shared" si="144"/>
        <v>0</v>
      </c>
      <c r="T250" s="104">
        <f t="shared" si="144"/>
        <v>0</v>
      </c>
      <c r="U250" s="104">
        <f t="shared" si="144"/>
        <v>0</v>
      </c>
      <c r="V250" s="104">
        <f t="shared" si="144"/>
        <v>0</v>
      </c>
      <c r="W250" s="104">
        <f t="shared" si="144"/>
        <v>0</v>
      </c>
      <c r="X250" s="104">
        <f t="shared" si="144"/>
        <v>0</v>
      </c>
      <c r="Y250" s="104">
        <f t="shared" si="144"/>
        <v>0</v>
      </c>
      <c r="Z250" s="104">
        <f t="shared" si="144"/>
        <v>0</v>
      </c>
      <c r="AA250" s="104">
        <f t="shared" si="144"/>
        <v>0</v>
      </c>
      <c r="AB250" s="104">
        <f t="shared" si="144"/>
        <v>0</v>
      </c>
      <c r="AC250" s="104">
        <f t="shared" si="144"/>
        <v>0</v>
      </c>
      <c r="AD250" s="104">
        <f t="shared" si="144"/>
        <v>0</v>
      </c>
      <c r="AE250" s="104">
        <f t="shared" si="144"/>
        <v>0</v>
      </c>
      <c r="AF250" s="104">
        <f t="shared" si="144"/>
        <v>0</v>
      </c>
      <c r="AG250" s="104">
        <f t="shared" si="144"/>
        <v>0</v>
      </c>
      <c r="AH250" s="104">
        <f t="shared" si="144"/>
        <v>0</v>
      </c>
      <c r="AI250" s="104">
        <f t="shared" si="144"/>
        <v>0</v>
      </c>
      <c r="AJ250" s="104">
        <f t="shared" si="144"/>
        <v>0</v>
      </c>
      <c r="AK250" s="104">
        <f t="shared" si="144"/>
        <v>0</v>
      </c>
      <c r="AL250" s="104">
        <f t="shared" si="144"/>
        <v>0</v>
      </c>
      <c r="AM250" s="104">
        <f t="shared" si="144"/>
        <v>0</v>
      </c>
      <c r="AN250" s="25"/>
      <c r="AO250" s="25"/>
      <c r="AP250" s="25"/>
      <c r="AQ250" s="25"/>
      <c r="AR250" s="25"/>
      <c r="AS250" s="25"/>
      <c r="AT250" s="25"/>
      <c r="AU250" s="25"/>
      <c r="AV250" s="25"/>
      <c r="AW250" s="25"/>
      <c r="AX250" s="25"/>
      <c r="AY250" s="25"/>
      <c r="AZ250" s="25"/>
    </row>
    <row r="251" spans="1:60" s="101" customFormat="1" x14ac:dyDescent="0.5">
      <c r="A251" s="26"/>
      <c r="B251" s="26"/>
      <c r="C251" s="26" t="s">
        <v>25</v>
      </c>
      <c r="D251" s="26" t="s">
        <v>131</v>
      </c>
      <c r="E251" s="26"/>
      <c r="F251" s="26"/>
      <c r="G251" s="26"/>
      <c r="H251" s="105">
        <f>J251+NPV(discountrate,K251:AK251)</f>
        <v>0</v>
      </c>
      <c r="I251" s="26"/>
      <c r="J251" s="105">
        <f>SUM(J248:J250)</f>
        <v>0</v>
      </c>
      <c r="K251" s="105">
        <f t="shared" ref="K251:AM251" si="145">SUM(K248:K250)</f>
        <v>0</v>
      </c>
      <c r="L251" s="105">
        <f t="shared" si="145"/>
        <v>0</v>
      </c>
      <c r="M251" s="105">
        <f t="shared" si="145"/>
        <v>0</v>
      </c>
      <c r="N251" s="105">
        <f t="shared" si="145"/>
        <v>0</v>
      </c>
      <c r="O251" s="105">
        <f t="shared" si="145"/>
        <v>0</v>
      </c>
      <c r="P251" s="105">
        <f t="shared" si="145"/>
        <v>0</v>
      </c>
      <c r="Q251" s="105">
        <f t="shared" si="145"/>
        <v>0</v>
      </c>
      <c r="R251" s="105">
        <f t="shared" si="145"/>
        <v>0</v>
      </c>
      <c r="S251" s="105">
        <f t="shared" si="145"/>
        <v>0</v>
      </c>
      <c r="T251" s="105">
        <f t="shared" si="145"/>
        <v>0</v>
      </c>
      <c r="U251" s="105">
        <f t="shared" si="145"/>
        <v>0</v>
      </c>
      <c r="V251" s="105">
        <f t="shared" si="145"/>
        <v>0</v>
      </c>
      <c r="W251" s="105">
        <f t="shared" si="145"/>
        <v>0</v>
      </c>
      <c r="X251" s="105">
        <f t="shared" si="145"/>
        <v>0</v>
      </c>
      <c r="Y251" s="105">
        <f t="shared" si="145"/>
        <v>0</v>
      </c>
      <c r="Z251" s="105">
        <f t="shared" si="145"/>
        <v>0</v>
      </c>
      <c r="AA251" s="105">
        <f t="shared" si="145"/>
        <v>0</v>
      </c>
      <c r="AB251" s="105">
        <f t="shared" si="145"/>
        <v>0</v>
      </c>
      <c r="AC251" s="105">
        <f t="shared" si="145"/>
        <v>0</v>
      </c>
      <c r="AD251" s="105">
        <f t="shared" si="145"/>
        <v>0</v>
      </c>
      <c r="AE251" s="105">
        <f t="shared" si="145"/>
        <v>0</v>
      </c>
      <c r="AF251" s="105">
        <f t="shared" si="145"/>
        <v>0</v>
      </c>
      <c r="AG251" s="105">
        <f t="shared" si="145"/>
        <v>0</v>
      </c>
      <c r="AH251" s="105">
        <f t="shared" si="145"/>
        <v>0</v>
      </c>
      <c r="AI251" s="105">
        <f t="shared" si="145"/>
        <v>0</v>
      </c>
      <c r="AJ251" s="105">
        <f t="shared" si="145"/>
        <v>0</v>
      </c>
      <c r="AK251" s="105">
        <f t="shared" si="145"/>
        <v>0</v>
      </c>
      <c r="AL251" s="105">
        <f t="shared" si="145"/>
        <v>0</v>
      </c>
      <c r="AM251" s="105">
        <f t="shared" si="145"/>
        <v>0</v>
      </c>
      <c r="AN251" s="26"/>
      <c r="AO251" s="26"/>
      <c r="AP251" s="26"/>
      <c r="AQ251" s="26"/>
      <c r="AR251" s="26"/>
      <c r="AS251" s="26"/>
      <c r="AT251" s="26"/>
      <c r="AU251" s="26"/>
      <c r="AV251" s="26"/>
      <c r="AW251" s="26"/>
      <c r="AX251" s="26"/>
      <c r="AY251" s="26"/>
      <c r="AZ251" s="26"/>
    </row>
    <row r="252" spans="1:60" s="101" customFormat="1" x14ac:dyDescent="0.5">
      <c r="A252" s="26"/>
      <c r="B252" s="26"/>
      <c r="C252" s="26"/>
      <c r="D252" s="26"/>
      <c r="E252" s="26"/>
      <c r="F252" s="26"/>
      <c r="G252" s="26"/>
      <c r="H252" s="155"/>
      <c r="I252" s="2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26"/>
      <c r="AO252" s="26"/>
      <c r="AP252" s="26"/>
      <c r="AQ252" s="26"/>
      <c r="AR252" s="26"/>
      <c r="AS252" s="26"/>
      <c r="AT252" s="26"/>
      <c r="AU252" s="26"/>
      <c r="AV252" s="26"/>
      <c r="AW252" s="26"/>
      <c r="AX252" s="26"/>
      <c r="AY252" s="26"/>
      <c r="AZ252" s="26"/>
    </row>
    <row r="253" spans="1:60" s="101" customFormat="1" x14ac:dyDescent="0.5">
      <c r="A253" s="26"/>
      <c r="B253" s="26"/>
      <c r="C253" s="26" t="s">
        <v>147</v>
      </c>
      <c r="D253" s="26"/>
      <c r="E253" s="26"/>
      <c r="F253" s="26"/>
      <c r="G253" s="26"/>
      <c r="H253" s="154"/>
      <c r="I253" s="26"/>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G253" s="154"/>
      <c r="AH253" s="154"/>
      <c r="AI253" s="154"/>
      <c r="AJ253" s="154"/>
      <c r="AK253" s="154"/>
      <c r="AL253" s="154"/>
      <c r="AM253" s="154"/>
      <c r="AN253" s="26"/>
      <c r="AO253" s="26"/>
      <c r="AP253" s="26"/>
      <c r="AQ253" s="26"/>
      <c r="AR253" s="26"/>
      <c r="AS253" s="26"/>
      <c r="AT253" s="26"/>
      <c r="AU253" s="26"/>
      <c r="AV253" s="26"/>
      <c r="AW253" s="26"/>
      <c r="AX253" s="26"/>
      <c r="AY253" s="26"/>
      <c r="AZ253" s="26"/>
    </row>
    <row r="254" spans="1:60" s="101" customFormat="1" x14ac:dyDescent="0.5">
      <c r="A254" s="26"/>
      <c r="B254" s="26"/>
      <c r="C254" s="26"/>
      <c r="D254" s="26"/>
      <c r="E254" s="26"/>
      <c r="F254" s="26"/>
      <c r="G254" s="26"/>
      <c r="H254" s="157"/>
      <c r="I254" s="26"/>
      <c r="J254" s="157"/>
      <c r="K254" s="157"/>
      <c r="L254" s="157"/>
      <c r="M254" s="157"/>
      <c r="N254" s="157"/>
      <c r="O254" s="157"/>
      <c r="P254" s="157"/>
      <c r="Q254" s="157"/>
      <c r="R254" s="157"/>
      <c r="S254" s="157"/>
      <c r="T254" s="157"/>
      <c r="U254" s="157"/>
      <c r="V254" s="157"/>
      <c r="W254" s="157"/>
      <c r="X254" s="157"/>
      <c r="Y254" s="157"/>
      <c r="Z254" s="157"/>
      <c r="AA254" s="157"/>
      <c r="AB254" s="157"/>
      <c r="AC254" s="157"/>
      <c r="AD254" s="157"/>
      <c r="AE254" s="157"/>
      <c r="AF254" s="157"/>
      <c r="AG254" s="157"/>
      <c r="AH254" s="157"/>
      <c r="AI254" s="157"/>
      <c r="AJ254" s="157"/>
      <c r="AK254" s="157"/>
      <c r="AL254" s="157"/>
      <c r="AM254" s="157"/>
      <c r="AN254" s="26"/>
      <c r="AO254" s="26"/>
      <c r="AP254" s="26"/>
      <c r="AQ254" s="26"/>
      <c r="AR254" s="26"/>
      <c r="AS254" s="26"/>
      <c r="AT254" s="26"/>
      <c r="AU254" s="26"/>
      <c r="AV254" s="26"/>
      <c r="AW254" s="26"/>
      <c r="AX254" s="26"/>
      <c r="AY254" s="26"/>
      <c r="AZ254" s="26"/>
    </row>
    <row r="255" spans="1:60" s="101" customFormat="1" x14ac:dyDescent="0.5">
      <c r="A255" s="26"/>
      <c r="B255" s="26"/>
      <c r="C255" s="25" t="s">
        <v>94</v>
      </c>
      <c r="D255" s="25" t="s">
        <v>35</v>
      </c>
      <c r="E255" s="26"/>
      <c r="F255" s="26"/>
      <c r="G255" s="26"/>
      <c r="H255" s="157"/>
      <c r="I255" s="26"/>
      <c r="J255" s="105">
        <f t="shared" ref="J255:AM255" si="146">INDEX(dischargevolumes,MATCH($C255,volumesnames,0),MATCH(J$7,years,0))</f>
        <v>0</v>
      </c>
      <c r="K255" s="105">
        <f t="shared" si="146"/>
        <v>0</v>
      </c>
      <c r="L255" s="105">
        <f t="shared" si="146"/>
        <v>0</v>
      </c>
      <c r="M255" s="105">
        <f t="shared" si="146"/>
        <v>0</v>
      </c>
      <c r="N255" s="105">
        <f t="shared" si="146"/>
        <v>0</v>
      </c>
      <c r="O255" s="105">
        <f t="shared" si="146"/>
        <v>0</v>
      </c>
      <c r="P255" s="105">
        <f t="shared" si="146"/>
        <v>0</v>
      </c>
      <c r="Q255" s="105">
        <f t="shared" si="146"/>
        <v>0</v>
      </c>
      <c r="R255" s="105">
        <f t="shared" si="146"/>
        <v>0</v>
      </c>
      <c r="S255" s="105">
        <f t="shared" si="146"/>
        <v>0</v>
      </c>
      <c r="T255" s="105">
        <f t="shared" si="146"/>
        <v>0</v>
      </c>
      <c r="U255" s="105">
        <f t="shared" si="146"/>
        <v>0</v>
      </c>
      <c r="V255" s="105">
        <f t="shared" si="146"/>
        <v>0</v>
      </c>
      <c r="W255" s="105">
        <f t="shared" si="146"/>
        <v>0</v>
      </c>
      <c r="X255" s="105">
        <f t="shared" si="146"/>
        <v>0</v>
      </c>
      <c r="Y255" s="105">
        <f t="shared" si="146"/>
        <v>0</v>
      </c>
      <c r="Z255" s="105">
        <f t="shared" si="146"/>
        <v>0</v>
      </c>
      <c r="AA255" s="105">
        <f t="shared" si="146"/>
        <v>0</v>
      </c>
      <c r="AB255" s="105">
        <f t="shared" si="146"/>
        <v>0</v>
      </c>
      <c r="AC255" s="105">
        <f t="shared" si="146"/>
        <v>0</v>
      </c>
      <c r="AD255" s="105">
        <f t="shared" si="146"/>
        <v>0</v>
      </c>
      <c r="AE255" s="105">
        <f t="shared" si="146"/>
        <v>0</v>
      </c>
      <c r="AF255" s="105">
        <f t="shared" si="146"/>
        <v>0</v>
      </c>
      <c r="AG255" s="105">
        <f t="shared" si="146"/>
        <v>0</v>
      </c>
      <c r="AH255" s="105">
        <f t="shared" si="146"/>
        <v>0</v>
      </c>
      <c r="AI255" s="105">
        <f t="shared" si="146"/>
        <v>0</v>
      </c>
      <c r="AJ255" s="105">
        <f t="shared" si="146"/>
        <v>0</v>
      </c>
      <c r="AK255" s="105">
        <f t="shared" si="146"/>
        <v>0</v>
      </c>
      <c r="AL255" s="105">
        <f t="shared" si="146"/>
        <v>0</v>
      </c>
      <c r="AM255" s="105">
        <f t="shared" si="146"/>
        <v>0</v>
      </c>
      <c r="AN255" s="26"/>
      <c r="AO255" s="26"/>
      <c r="AP255" s="26"/>
      <c r="AQ255" s="26"/>
      <c r="AR255" s="26"/>
      <c r="AS255" s="26"/>
      <c r="AT255" s="26"/>
      <c r="AU255" s="26"/>
      <c r="AV255" s="26"/>
      <c r="AW255" s="26"/>
      <c r="AX255" s="26"/>
      <c r="AY255" s="26"/>
      <c r="AZ255" s="26"/>
    </row>
    <row r="256" spans="1:60" s="101" customFormat="1" x14ac:dyDescent="0.5">
      <c r="A256" s="26"/>
      <c r="B256" s="26"/>
      <c r="C256" s="25" t="s">
        <v>148</v>
      </c>
      <c r="D256" s="25" t="s">
        <v>150</v>
      </c>
      <c r="E256" s="26"/>
      <c r="F256" s="26"/>
      <c r="G256" s="26"/>
      <c r="H256" s="157"/>
      <c r="I256" s="26"/>
      <c r="J256" s="105">
        <f t="shared" ref="J256:AM256" si="147">INDEX(dischargeexistingcost,MATCH(J$7,years,0))</f>
        <v>0</v>
      </c>
      <c r="K256" s="105">
        <f t="shared" si="147"/>
        <v>0</v>
      </c>
      <c r="L256" s="105">
        <f t="shared" si="147"/>
        <v>0</v>
      </c>
      <c r="M256" s="105">
        <f t="shared" si="147"/>
        <v>0</v>
      </c>
      <c r="N256" s="105">
        <f t="shared" si="147"/>
        <v>0</v>
      </c>
      <c r="O256" s="105">
        <f t="shared" si="147"/>
        <v>0</v>
      </c>
      <c r="P256" s="105">
        <f t="shared" si="147"/>
        <v>0</v>
      </c>
      <c r="Q256" s="105">
        <f t="shared" si="147"/>
        <v>0</v>
      </c>
      <c r="R256" s="105">
        <f t="shared" si="147"/>
        <v>0</v>
      </c>
      <c r="S256" s="105">
        <f t="shared" si="147"/>
        <v>0</v>
      </c>
      <c r="T256" s="105">
        <f t="shared" si="147"/>
        <v>0</v>
      </c>
      <c r="U256" s="105">
        <f t="shared" si="147"/>
        <v>0</v>
      </c>
      <c r="V256" s="105">
        <f t="shared" si="147"/>
        <v>0</v>
      </c>
      <c r="W256" s="105">
        <f t="shared" si="147"/>
        <v>0</v>
      </c>
      <c r="X256" s="105">
        <f t="shared" si="147"/>
        <v>0</v>
      </c>
      <c r="Y256" s="105">
        <f t="shared" si="147"/>
        <v>0</v>
      </c>
      <c r="Z256" s="105">
        <f t="shared" si="147"/>
        <v>0</v>
      </c>
      <c r="AA256" s="105">
        <f t="shared" si="147"/>
        <v>0</v>
      </c>
      <c r="AB256" s="105">
        <f t="shared" si="147"/>
        <v>0</v>
      </c>
      <c r="AC256" s="105">
        <f t="shared" si="147"/>
        <v>0</v>
      </c>
      <c r="AD256" s="105">
        <f t="shared" si="147"/>
        <v>0</v>
      </c>
      <c r="AE256" s="105">
        <f t="shared" si="147"/>
        <v>0</v>
      </c>
      <c r="AF256" s="105">
        <f t="shared" si="147"/>
        <v>0</v>
      </c>
      <c r="AG256" s="105">
        <f t="shared" si="147"/>
        <v>0</v>
      </c>
      <c r="AH256" s="105">
        <f t="shared" si="147"/>
        <v>0</v>
      </c>
      <c r="AI256" s="105">
        <f t="shared" si="147"/>
        <v>0</v>
      </c>
      <c r="AJ256" s="105">
        <f t="shared" si="147"/>
        <v>0</v>
      </c>
      <c r="AK256" s="105">
        <f t="shared" si="147"/>
        <v>0</v>
      </c>
      <c r="AL256" s="105">
        <f t="shared" si="147"/>
        <v>0</v>
      </c>
      <c r="AM256" s="105">
        <f t="shared" si="147"/>
        <v>0</v>
      </c>
      <c r="AN256" s="26"/>
      <c r="AO256" s="26"/>
      <c r="AP256" s="26"/>
      <c r="AQ256" s="26"/>
      <c r="AR256" s="26"/>
      <c r="AS256" s="26"/>
      <c r="AT256" s="26"/>
      <c r="AU256" s="26"/>
      <c r="AV256" s="26"/>
      <c r="AW256" s="26"/>
      <c r="AX256" s="26"/>
      <c r="AY256" s="26"/>
      <c r="AZ256" s="26"/>
    </row>
    <row r="257" spans="1:60" s="101" customFormat="1" x14ac:dyDescent="0.5">
      <c r="A257" s="26"/>
      <c r="B257" s="26"/>
      <c r="C257" s="26" t="s">
        <v>149</v>
      </c>
      <c r="D257" s="26" t="s">
        <v>150</v>
      </c>
      <c r="E257" s="26"/>
      <c r="F257" s="26"/>
      <c r="G257" s="26"/>
      <c r="H257" s="105">
        <f>J257+NPV(discountrate,K257:AM257)</f>
        <v>0</v>
      </c>
      <c r="I257" s="26"/>
      <c r="J257" s="105">
        <f>J255*J256</f>
        <v>0</v>
      </c>
      <c r="K257" s="105">
        <f t="shared" ref="K257:AM257" si="148">K255*K256</f>
        <v>0</v>
      </c>
      <c r="L257" s="105">
        <f t="shared" si="148"/>
        <v>0</v>
      </c>
      <c r="M257" s="105">
        <f t="shared" si="148"/>
        <v>0</v>
      </c>
      <c r="N257" s="105">
        <f t="shared" si="148"/>
        <v>0</v>
      </c>
      <c r="O257" s="105">
        <f t="shared" si="148"/>
        <v>0</v>
      </c>
      <c r="P257" s="105">
        <f t="shared" si="148"/>
        <v>0</v>
      </c>
      <c r="Q257" s="105">
        <f t="shared" si="148"/>
        <v>0</v>
      </c>
      <c r="R257" s="105">
        <f t="shared" si="148"/>
        <v>0</v>
      </c>
      <c r="S257" s="105">
        <f t="shared" si="148"/>
        <v>0</v>
      </c>
      <c r="T257" s="105">
        <f t="shared" si="148"/>
        <v>0</v>
      </c>
      <c r="U257" s="105">
        <f t="shared" si="148"/>
        <v>0</v>
      </c>
      <c r="V257" s="105">
        <f t="shared" si="148"/>
        <v>0</v>
      </c>
      <c r="W257" s="105">
        <f t="shared" si="148"/>
        <v>0</v>
      </c>
      <c r="X257" s="105">
        <f t="shared" si="148"/>
        <v>0</v>
      </c>
      <c r="Y257" s="105">
        <f t="shared" si="148"/>
        <v>0</v>
      </c>
      <c r="Z257" s="105">
        <f t="shared" si="148"/>
        <v>0</v>
      </c>
      <c r="AA257" s="105">
        <f t="shared" si="148"/>
        <v>0</v>
      </c>
      <c r="AB257" s="105">
        <f t="shared" si="148"/>
        <v>0</v>
      </c>
      <c r="AC257" s="105">
        <f t="shared" si="148"/>
        <v>0</v>
      </c>
      <c r="AD257" s="105">
        <f t="shared" si="148"/>
        <v>0</v>
      </c>
      <c r="AE257" s="105">
        <f t="shared" si="148"/>
        <v>0</v>
      </c>
      <c r="AF257" s="105">
        <f t="shared" si="148"/>
        <v>0</v>
      </c>
      <c r="AG257" s="105">
        <f t="shared" si="148"/>
        <v>0</v>
      </c>
      <c r="AH257" s="105">
        <f t="shared" si="148"/>
        <v>0</v>
      </c>
      <c r="AI257" s="105">
        <f t="shared" si="148"/>
        <v>0</v>
      </c>
      <c r="AJ257" s="105">
        <f t="shared" si="148"/>
        <v>0</v>
      </c>
      <c r="AK257" s="105">
        <f t="shared" si="148"/>
        <v>0</v>
      </c>
      <c r="AL257" s="105">
        <f t="shared" si="148"/>
        <v>0</v>
      </c>
      <c r="AM257" s="105">
        <f t="shared" si="148"/>
        <v>0</v>
      </c>
      <c r="AN257" s="26"/>
      <c r="AO257" s="26"/>
      <c r="AP257" s="26"/>
      <c r="AQ257" s="26"/>
      <c r="AR257" s="26"/>
      <c r="AS257" s="26"/>
      <c r="AT257" s="26"/>
      <c r="AU257" s="26"/>
      <c r="AV257" s="26"/>
      <c r="AW257" s="26"/>
      <c r="AX257" s="26"/>
      <c r="AY257" s="26"/>
      <c r="AZ257" s="26"/>
    </row>
    <row r="258" spans="1:60" x14ac:dyDescent="0.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row>
    <row r="259" spans="1:60" x14ac:dyDescent="0.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row>
    <row r="260" spans="1:60" ht="19.5" x14ac:dyDescent="0.55000000000000004">
      <c r="A260" s="25"/>
      <c r="C260" s="97" t="s">
        <v>95</v>
      </c>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row>
    <row r="261" spans="1:60" x14ac:dyDescent="0.5">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row>
    <row r="262" spans="1:60" x14ac:dyDescent="0.5">
      <c r="A262" s="25"/>
      <c r="B262" s="25"/>
      <c r="C262" s="98" t="s">
        <v>21</v>
      </c>
      <c r="D262" s="99"/>
      <c r="E262" s="99"/>
      <c r="F262" s="25"/>
      <c r="G262" s="25"/>
      <c r="H262" s="99"/>
      <c r="I262" s="25"/>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25"/>
      <c r="AG262" s="25"/>
      <c r="AH262" s="25"/>
      <c r="AI262" s="25"/>
      <c r="AJ262" s="25"/>
      <c r="AK262" s="25"/>
      <c r="AL262" s="25"/>
      <c r="AM262" s="25"/>
      <c r="AN262" s="25"/>
      <c r="AO262" s="25"/>
      <c r="AP262" s="25"/>
      <c r="AQ262" s="25"/>
      <c r="AR262" s="25"/>
      <c r="AS262" s="25"/>
      <c r="AT262" s="25"/>
      <c r="AU262" s="25"/>
      <c r="AV262" s="25"/>
      <c r="AW262" s="25"/>
      <c r="AX262" s="25"/>
      <c r="AY262" s="25"/>
      <c r="AZ262" s="25"/>
    </row>
    <row r="263" spans="1:60" x14ac:dyDescent="0.5">
      <c r="A263" s="25"/>
      <c r="B263" s="25"/>
      <c r="C263" s="98" t="s">
        <v>18</v>
      </c>
      <c r="D263" s="98"/>
      <c r="E263" s="98"/>
      <c r="F263" s="25"/>
      <c r="G263" s="25"/>
      <c r="H263" s="99"/>
      <c r="I263" s="25"/>
      <c r="J263" s="107">
        <f t="shared" ref="J263:AM263" si="149">IF(J270&lt;INDEX(tippingpoints,MATCH($B226,tippingpointnames,0),1),0,1)</f>
        <v>1</v>
      </c>
      <c r="K263" s="107">
        <f t="shared" si="149"/>
        <v>1</v>
      </c>
      <c r="L263" s="107">
        <f t="shared" si="149"/>
        <v>1</v>
      </c>
      <c r="M263" s="107">
        <f t="shared" si="149"/>
        <v>1</v>
      </c>
      <c r="N263" s="107">
        <f t="shared" si="149"/>
        <v>1</v>
      </c>
      <c r="O263" s="107">
        <f t="shared" si="149"/>
        <v>1</v>
      </c>
      <c r="P263" s="107">
        <f t="shared" si="149"/>
        <v>1</v>
      </c>
      <c r="Q263" s="107">
        <f t="shared" si="149"/>
        <v>1</v>
      </c>
      <c r="R263" s="107">
        <f t="shared" si="149"/>
        <v>1</v>
      </c>
      <c r="S263" s="107">
        <f t="shared" si="149"/>
        <v>1</v>
      </c>
      <c r="T263" s="107">
        <f t="shared" si="149"/>
        <v>1</v>
      </c>
      <c r="U263" s="107">
        <f t="shared" si="149"/>
        <v>1</v>
      </c>
      <c r="V263" s="107">
        <f t="shared" si="149"/>
        <v>1</v>
      </c>
      <c r="W263" s="107">
        <f t="shared" si="149"/>
        <v>1</v>
      </c>
      <c r="X263" s="107">
        <f t="shared" si="149"/>
        <v>1</v>
      </c>
      <c r="Y263" s="107">
        <f t="shared" si="149"/>
        <v>1</v>
      </c>
      <c r="Z263" s="107">
        <f t="shared" si="149"/>
        <v>1</v>
      </c>
      <c r="AA263" s="107">
        <f t="shared" si="149"/>
        <v>1</v>
      </c>
      <c r="AB263" s="107">
        <f t="shared" si="149"/>
        <v>1</v>
      </c>
      <c r="AC263" s="107">
        <f t="shared" si="149"/>
        <v>1</v>
      </c>
      <c r="AD263" s="107">
        <f t="shared" si="149"/>
        <v>1</v>
      </c>
      <c r="AE263" s="107">
        <f t="shared" si="149"/>
        <v>1</v>
      </c>
      <c r="AF263" s="107">
        <f t="shared" si="149"/>
        <v>1</v>
      </c>
      <c r="AG263" s="107">
        <f t="shared" si="149"/>
        <v>1</v>
      </c>
      <c r="AH263" s="107">
        <f t="shared" si="149"/>
        <v>1</v>
      </c>
      <c r="AI263" s="107">
        <f t="shared" si="149"/>
        <v>1</v>
      </c>
      <c r="AJ263" s="107">
        <f t="shared" si="149"/>
        <v>1</v>
      </c>
      <c r="AK263" s="107">
        <f t="shared" si="149"/>
        <v>1</v>
      </c>
      <c r="AL263" s="107">
        <f t="shared" si="149"/>
        <v>1</v>
      </c>
      <c r="AM263" s="107">
        <f t="shared" si="149"/>
        <v>1</v>
      </c>
      <c r="AN263" s="25"/>
      <c r="AO263" s="25"/>
      <c r="AP263" s="25"/>
      <c r="AQ263" s="25"/>
      <c r="AR263" s="25"/>
      <c r="AS263" s="25"/>
      <c r="AT263" s="25"/>
      <c r="AU263" s="25"/>
      <c r="AV263" s="25"/>
      <c r="AW263" s="25"/>
      <c r="AX263" s="25"/>
      <c r="AY263" s="25"/>
      <c r="AZ263" s="25"/>
    </row>
    <row r="264" spans="1:60" x14ac:dyDescent="0.5">
      <c r="A264" s="25"/>
      <c r="B264" s="25"/>
      <c r="C264" s="98" t="s">
        <v>19</v>
      </c>
      <c r="D264" s="98"/>
      <c r="E264" s="98"/>
      <c r="F264" s="25"/>
      <c r="G264" s="25"/>
      <c r="H264" s="99"/>
      <c r="I264" s="25"/>
      <c r="J264" s="109">
        <f>IF(SUM($J263:J263)=0,0,1)</f>
        <v>1</v>
      </c>
      <c r="K264" s="109">
        <f>IF(SUM($J263:K263)=0,0,1)</f>
        <v>1</v>
      </c>
      <c r="L264" s="109">
        <f>IF(SUM($J263:L263)=0,0,1)</f>
        <v>1</v>
      </c>
      <c r="M264" s="109">
        <f>IF(SUM($J263:M263)=0,0,1)</f>
        <v>1</v>
      </c>
      <c r="N264" s="109">
        <f>IF(SUM($J263:N263)=0,0,1)</f>
        <v>1</v>
      </c>
      <c r="O264" s="109">
        <f>IF(SUM($J263:O263)=0,0,1)</f>
        <v>1</v>
      </c>
      <c r="P264" s="109">
        <f>IF(SUM($J263:P263)=0,0,1)</f>
        <v>1</v>
      </c>
      <c r="Q264" s="109">
        <f>IF(SUM($J263:Q263)=0,0,1)</f>
        <v>1</v>
      </c>
      <c r="R264" s="109">
        <f>IF(SUM($J263:R263)=0,0,1)</f>
        <v>1</v>
      </c>
      <c r="S264" s="109">
        <f>IF(SUM($J263:S263)=0,0,1)</f>
        <v>1</v>
      </c>
      <c r="T264" s="109">
        <f>IF(SUM($J263:T263)=0,0,1)</f>
        <v>1</v>
      </c>
      <c r="U264" s="109">
        <f>IF(SUM($J263:U263)=0,0,1)</f>
        <v>1</v>
      </c>
      <c r="V264" s="109">
        <f>IF(SUM($J263:V263)=0,0,1)</f>
        <v>1</v>
      </c>
      <c r="W264" s="109">
        <f>IF(SUM($J263:W263)=0,0,1)</f>
        <v>1</v>
      </c>
      <c r="X264" s="109">
        <f>IF(SUM($J263:X263)=0,0,1)</f>
        <v>1</v>
      </c>
      <c r="Y264" s="109">
        <f>IF(SUM($J263:Y263)=0,0,1)</f>
        <v>1</v>
      </c>
      <c r="Z264" s="109">
        <f>IF(SUM($J263:Z263)=0,0,1)</f>
        <v>1</v>
      </c>
      <c r="AA264" s="109">
        <f>IF(SUM($J263:AA263)=0,0,1)</f>
        <v>1</v>
      </c>
      <c r="AB264" s="109">
        <f>IF(SUM($J263:AB263)=0,0,1)</f>
        <v>1</v>
      </c>
      <c r="AC264" s="109">
        <f>IF(SUM($J263:AC263)=0,0,1)</f>
        <v>1</v>
      </c>
      <c r="AD264" s="109">
        <f>IF(SUM($J263:AD263)=0,0,1)</f>
        <v>1</v>
      </c>
      <c r="AE264" s="109">
        <f>IF(SUM($J263:AE263)=0,0,1)</f>
        <v>1</v>
      </c>
      <c r="AF264" s="109">
        <f>IF(SUM($J263:AF263)=0,0,1)</f>
        <v>1</v>
      </c>
      <c r="AG264" s="109">
        <f>IF(SUM($J263:AG263)=0,0,1)</f>
        <v>1</v>
      </c>
      <c r="AH264" s="109">
        <f>IF(SUM($J263:AH263)=0,0,1)</f>
        <v>1</v>
      </c>
      <c r="AI264" s="109">
        <f>IF(SUM($J263:AI263)=0,0,1)</f>
        <v>1</v>
      </c>
      <c r="AJ264" s="109">
        <f>IF(SUM($J263:AJ263)=0,0,1)</f>
        <v>1</v>
      </c>
      <c r="AK264" s="109">
        <f>IF(SUM($J263:AK263)=0,0,1)</f>
        <v>1</v>
      </c>
      <c r="AL264" s="109">
        <f>IF(SUM($J263:AL263)=0,0,1)</f>
        <v>1</v>
      </c>
      <c r="AM264" s="109">
        <f>IF(SUM($J263:AM263)=0,0,1)</f>
        <v>1</v>
      </c>
      <c r="AN264" s="25"/>
      <c r="AO264" s="25"/>
      <c r="AP264" s="25"/>
      <c r="AQ264" s="25"/>
      <c r="AR264" s="25"/>
      <c r="AS264" s="25"/>
      <c r="AT264" s="25"/>
      <c r="AU264" s="25"/>
      <c r="AV264" s="25"/>
      <c r="AW264" s="25"/>
      <c r="AX264" s="25"/>
      <c r="AY264" s="25"/>
      <c r="AZ264" s="25"/>
    </row>
    <row r="265" spans="1:60" x14ac:dyDescent="0.5">
      <c r="A265" s="25"/>
      <c r="B265" s="25"/>
      <c r="C265" s="98" t="s">
        <v>20</v>
      </c>
      <c r="D265" s="98"/>
      <c r="E265" s="98"/>
      <c r="F265" s="25"/>
      <c r="G265" s="25"/>
      <c r="H265" s="99"/>
      <c r="I265" s="25"/>
      <c r="J265" s="109">
        <f>IF($AM264=0,0,IF(AND(J264=0,J263=0),K265-1,0))</f>
        <v>0</v>
      </c>
      <c r="K265" s="109">
        <f t="shared" ref="K265" si="150">IF($AM264=0,0,IF(AND(K264=0,K263=0),L265-1,0))</f>
        <v>0</v>
      </c>
      <c r="L265" s="109">
        <f t="shared" ref="L265" si="151">IF($AM264=0,0,IF(AND(L264=0,L263=0),M265-1,0))</f>
        <v>0</v>
      </c>
      <c r="M265" s="109">
        <f t="shared" ref="M265" si="152">IF($AM264=0,0,IF(AND(M264=0,M263=0),N265-1,0))</f>
        <v>0</v>
      </c>
      <c r="N265" s="109">
        <f t="shared" ref="N265" si="153">IF($AM264=0,0,IF(AND(N264=0,N263=0),O265-1,0))</f>
        <v>0</v>
      </c>
      <c r="O265" s="109">
        <f t="shared" ref="O265" si="154">IF($AM264=0,0,IF(AND(O264=0,O263=0),P265-1,0))</f>
        <v>0</v>
      </c>
      <c r="P265" s="109">
        <f t="shared" ref="P265" si="155">IF($AM264=0,0,IF(AND(P264=0,P263=0),Q265-1,0))</f>
        <v>0</v>
      </c>
      <c r="Q265" s="109">
        <f t="shared" ref="Q265" si="156">IF($AM264=0,0,IF(AND(Q264=0,Q263=0),R265-1,0))</f>
        <v>0</v>
      </c>
      <c r="R265" s="109">
        <f t="shared" ref="R265" si="157">IF($AM264=0,0,IF(AND(R264=0,R263=0),S265-1,0))</f>
        <v>0</v>
      </c>
      <c r="S265" s="109">
        <f t="shared" ref="S265" si="158">IF($AM264=0,0,IF(AND(S264=0,S263=0),T265-1,0))</f>
        <v>0</v>
      </c>
      <c r="T265" s="109">
        <f t="shared" ref="T265" si="159">IF($AM264=0,0,IF(AND(T264=0,T263=0),U265-1,0))</f>
        <v>0</v>
      </c>
      <c r="U265" s="109">
        <f t="shared" ref="U265" si="160">IF($AM264=0,0,IF(AND(U264=0,U263=0),V265-1,0))</f>
        <v>0</v>
      </c>
      <c r="V265" s="109">
        <f t="shared" ref="V265" si="161">IF($AM264=0,0,IF(AND(V264=0,V263=0),W265-1,0))</f>
        <v>0</v>
      </c>
      <c r="W265" s="109">
        <f t="shared" ref="W265" si="162">IF($AM264=0,0,IF(AND(W264=0,W263=0),X265-1,0))</f>
        <v>0</v>
      </c>
      <c r="X265" s="109">
        <f t="shared" ref="X265" si="163">IF($AM264=0,0,IF(AND(X264=0,X263=0),Y265-1,0))</f>
        <v>0</v>
      </c>
      <c r="Y265" s="109">
        <f t="shared" ref="Y265" si="164">IF($AM264=0,0,IF(AND(Y264=0,Y263=0),Z265-1,0))</f>
        <v>0</v>
      </c>
      <c r="Z265" s="109">
        <f t="shared" ref="Z265" si="165">IF($AM264=0,0,IF(AND(Z264=0,Z263=0),AA265-1,0))</f>
        <v>0</v>
      </c>
      <c r="AA265" s="109">
        <f t="shared" ref="AA265" si="166">IF($AM264=0,0,IF(AND(AA264=0,AA263=0),AB265-1,0))</f>
        <v>0</v>
      </c>
      <c r="AB265" s="109">
        <f t="shared" ref="AB265" si="167">IF($AM264=0,0,IF(AND(AB264=0,AB263=0),AC265-1,0))</f>
        <v>0</v>
      </c>
      <c r="AC265" s="109">
        <f t="shared" ref="AC265" si="168">IF($AM264=0,0,IF(AND(AC264=0,AC263=0),AD265-1,0))</f>
        <v>0</v>
      </c>
      <c r="AD265" s="109">
        <f t="shared" ref="AD265" si="169">IF($AM264=0,0,IF(AND(AD264=0,AD263=0),AE265-1,0))</f>
        <v>0</v>
      </c>
      <c r="AE265" s="109">
        <f t="shared" ref="AE265" si="170">IF($AM264=0,0,IF(AND(AE264=0,AE263=0),AF265-1,0))</f>
        <v>0</v>
      </c>
      <c r="AF265" s="109">
        <f t="shared" ref="AF265" si="171">IF($AM264=0,0,IF(AND(AF264=0,AF263=0),AG265-1,0))</f>
        <v>0</v>
      </c>
      <c r="AG265" s="109">
        <f t="shared" ref="AG265" si="172">IF($AM264=0,0,IF(AND(AG264=0,AG263=0),AH265-1,0))</f>
        <v>0</v>
      </c>
      <c r="AH265" s="109">
        <f t="shared" ref="AH265" si="173">IF($AM264=0,0,IF(AND(AH264=0,AH263=0),AI265-1,0))</f>
        <v>0</v>
      </c>
      <c r="AI265" s="109">
        <f t="shared" ref="AI265" si="174">IF($AM264=0,0,IF(AND(AI264=0,AI263=0),AJ265-1,0))</f>
        <v>0</v>
      </c>
      <c r="AJ265" s="109">
        <f t="shared" ref="AJ265" si="175">IF($AM264=0,0,IF(AND(AJ264=0,AJ263=0),AK265-1,0))</f>
        <v>0</v>
      </c>
      <c r="AK265" s="109">
        <f t="shared" ref="AK265" si="176">IF($AM264=0,0,IF(AND(AK264=0,AK263=0),AL265-1,0))</f>
        <v>0</v>
      </c>
      <c r="AL265" s="109">
        <f t="shared" ref="AL265" si="177">IF($AM264=0,0,IF(AND(AL264=0,AL263=0),AM265-1,0))</f>
        <v>0</v>
      </c>
      <c r="AM265" s="109">
        <f t="shared" ref="AM265" si="178">IF($AM264=0,0,IF(AND(AM264=0,AM263=0),AN265-1,0))</f>
        <v>0</v>
      </c>
      <c r="AN265" s="25"/>
      <c r="AO265" s="25"/>
      <c r="AP265" s="25"/>
      <c r="AQ265" s="25"/>
      <c r="AR265" s="25"/>
      <c r="AS265" s="25"/>
      <c r="AT265" s="25"/>
      <c r="AU265" s="25"/>
      <c r="AV265" s="25"/>
      <c r="AW265" s="25"/>
      <c r="AX265" s="25"/>
      <c r="AY265" s="25"/>
      <c r="AZ265" s="25"/>
    </row>
    <row r="266" spans="1:60" x14ac:dyDescent="0.5">
      <c r="A266" s="25"/>
      <c r="B266" s="25"/>
      <c r="C266" s="98" t="s">
        <v>118</v>
      </c>
      <c r="D266" s="98"/>
      <c r="E266" s="98"/>
      <c r="F266" s="108"/>
      <c r="G266" s="98"/>
      <c r="H266" s="99"/>
      <c r="I266" s="99"/>
      <c r="J266" s="109">
        <f t="shared" ref="J266:AM266" si="179">IF(ABS(J265)=INDEX(leadtimes,MATCH($B226,assetnames,0),1),1,0)</f>
        <v>1</v>
      </c>
      <c r="K266" s="109">
        <f t="shared" si="179"/>
        <v>1</v>
      </c>
      <c r="L266" s="109">
        <f t="shared" si="179"/>
        <v>1</v>
      </c>
      <c r="M266" s="109">
        <f t="shared" si="179"/>
        <v>1</v>
      </c>
      <c r="N266" s="109">
        <f t="shared" si="179"/>
        <v>1</v>
      </c>
      <c r="O266" s="109">
        <f t="shared" si="179"/>
        <v>1</v>
      </c>
      <c r="P266" s="109">
        <f t="shared" si="179"/>
        <v>1</v>
      </c>
      <c r="Q266" s="109">
        <f t="shared" si="179"/>
        <v>1</v>
      </c>
      <c r="R266" s="109">
        <f t="shared" si="179"/>
        <v>1</v>
      </c>
      <c r="S266" s="109">
        <f t="shared" si="179"/>
        <v>1</v>
      </c>
      <c r="T266" s="109">
        <f t="shared" si="179"/>
        <v>1</v>
      </c>
      <c r="U266" s="109">
        <f t="shared" si="179"/>
        <v>1</v>
      </c>
      <c r="V266" s="109">
        <f t="shared" si="179"/>
        <v>1</v>
      </c>
      <c r="W266" s="109">
        <f t="shared" si="179"/>
        <v>1</v>
      </c>
      <c r="X266" s="109">
        <f t="shared" si="179"/>
        <v>1</v>
      </c>
      <c r="Y266" s="109">
        <f t="shared" si="179"/>
        <v>1</v>
      </c>
      <c r="Z266" s="109">
        <f t="shared" si="179"/>
        <v>1</v>
      </c>
      <c r="AA266" s="109">
        <f t="shared" si="179"/>
        <v>1</v>
      </c>
      <c r="AB266" s="109">
        <f t="shared" si="179"/>
        <v>1</v>
      </c>
      <c r="AC266" s="109">
        <f t="shared" si="179"/>
        <v>1</v>
      </c>
      <c r="AD266" s="109">
        <f t="shared" si="179"/>
        <v>1</v>
      </c>
      <c r="AE266" s="109">
        <f t="shared" si="179"/>
        <v>1</v>
      </c>
      <c r="AF266" s="109">
        <f t="shared" si="179"/>
        <v>1</v>
      </c>
      <c r="AG266" s="109">
        <f t="shared" si="179"/>
        <v>1</v>
      </c>
      <c r="AH266" s="109">
        <f t="shared" si="179"/>
        <v>1</v>
      </c>
      <c r="AI266" s="109">
        <f t="shared" si="179"/>
        <v>1</v>
      </c>
      <c r="AJ266" s="109">
        <f t="shared" si="179"/>
        <v>1</v>
      </c>
      <c r="AK266" s="109">
        <f t="shared" si="179"/>
        <v>1</v>
      </c>
      <c r="AL266" s="109">
        <f t="shared" si="179"/>
        <v>1</v>
      </c>
      <c r="AM266" s="109">
        <f t="shared" si="179"/>
        <v>1</v>
      </c>
      <c r="AN266" s="109"/>
      <c r="AO266" s="109"/>
      <c r="AP266" s="109"/>
      <c r="AQ266" s="109"/>
      <c r="AR266" s="109"/>
      <c r="AS266" s="109"/>
      <c r="AT266" s="109"/>
      <c r="AU266" s="109"/>
      <c r="AV266" s="109"/>
      <c r="AW266" s="109"/>
      <c r="AX266" s="109"/>
      <c r="AY266" s="109"/>
      <c r="AZ266" s="109"/>
      <c r="BA266" s="109"/>
      <c r="BB266" s="109"/>
      <c r="BC266" s="109"/>
      <c r="BD266" s="109"/>
      <c r="BE266" s="100"/>
      <c r="BF266" s="100"/>
      <c r="BG266" s="100"/>
      <c r="BH266" s="100"/>
    </row>
    <row r="267" spans="1:60" x14ac:dyDescent="0.5">
      <c r="A267" s="25"/>
      <c r="B267" s="25"/>
      <c r="C267" s="98" t="s">
        <v>119</v>
      </c>
      <c r="D267" s="98"/>
      <c r="E267" s="98"/>
      <c r="F267" s="108"/>
      <c r="G267" s="98"/>
      <c r="H267" s="99"/>
      <c r="I267" s="99"/>
      <c r="J267" s="109">
        <f>IF(SUM($J266:J266)=1,1,0)+I267</f>
        <v>1</v>
      </c>
      <c r="K267" s="109">
        <f>IF(SUM($J266:K266)=1,1,0)+J267</f>
        <v>1</v>
      </c>
      <c r="L267" s="109">
        <f>IF(SUM($J266:L266)=1,1,0)+K267</f>
        <v>1</v>
      </c>
      <c r="M267" s="109">
        <f>IF(SUM($J266:M266)=1,1,0)+L267</f>
        <v>1</v>
      </c>
      <c r="N267" s="109">
        <f>IF(SUM($J266:N266)=1,1,0)+M267</f>
        <v>1</v>
      </c>
      <c r="O267" s="109">
        <f>IF(SUM($J266:O266)=1,1,0)+N267</f>
        <v>1</v>
      </c>
      <c r="P267" s="109">
        <f>IF(SUM($J266:P266)=1,1,0)+O267</f>
        <v>1</v>
      </c>
      <c r="Q267" s="109">
        <f>IF(SUM($J266:Q266)=1,1,0)+P267</f>
        <v>1</v>
      </c>
      <c r="R267" s="109">
        <f>IF(SUM($J266:R266)=1,1,0)+Q267</f>
        <v>1</v>
      </c>
      <c r="S267" s="109">
        <f>IF(SUM($J266:S266)=1,1,0)+R267</f>
        <v>1</v>
      </c>
      <c r="T267" s="109">
        <f>IF(SUM($J266:T266)=1,1,0)+S267</f>
        <v>1</v>
      </c>
      <c r="U267" s="109">
        <f>IF(SUM($J266:U266)=1,1,0)+T267</f>
        <v>1</v>
      </c>
      <c r="V267" s="109">
        <f>IF(SUM($J266:V266)=1,1,0)+U267</f>
        <v>1</v>
      </c>
      <c r="W267" s="109">
        <f>IF(SUM($J266:W266)=1,1,0)+V267</f>
        <v>1</v>
      </c>
      <c r="X267" s="109">
        <f>IF(SUM($J266:X266)=1,1,0)+W267</f>
        <v>1</v>
      </c>
      <c r="Y267" s="109">
        <f>IF(SUM($J266:Y266)=1,1,0)+X267</f>
        <v>1</v>
      </c>
      <c r="Z267" s="109">
        <f>IF(SUM($J266:Z266)=1,1,0)+Y267</f>
        <v>1</v>
      </c>
      <c r="AA267" s="109">
        <f>IF(SUM($J266:AA266)=1,1,0)+Z267</f>
        <v>1</v>
      </c>
      <c r="AB267" s="109">
        <f>IF(SUM($J266:AB266)=1,1,0)+AA267</f>
        <v>1</v>
      </c>
      <c r="AC267" s="109">
        <f>IF(SUM($J266:AC266)=1,1,0)+AB267</f>
        <v>1</v>
      </c>
      <c r="AD267" s="109">
        <f>IF(SUM($J266:AD266)=1,1,0)+AC267</f>
        <v>1</v>
      </c>
      <c r="AE267" s="109">
        <f>IF(SUM($J266:AE266)=1,1,0)+AD267</f>
        <v>1</v>
      </c>
      <c r="AF267" s="109">
        <f>IF(SUM($J266:AF266)=1,1,0)+AE267</f>
        <v>1</v>
      </c>
      <c r="AG267" s="109">
        <f>IF(SUM($J266:AG266)=1,1,0)+AF267</f>
        <v>1</v>
      </c>
      <c r="AH267" s="109">
        <f>IF(SUM($J266:AH266)=1,1,0)+AG267</f>
        <v>1</v>
      </c>
      <c r="AI267" s="109">
        <f>IF(SUM($J266:AI266)=1,1,0)+AH267</f>
        <v>1</v>
      </c>
      <c r="AJ267" s="109">
        <f>IF(SUM($J266:AJ266)=1,1,0)+AI267</f>
        <v>1</v>
      </c>
      <c r="AK267" s="109">
        <f>IF(SUM($J266:AK266)=1,1,0)+AJ267</f>
        <v>1</v>
      </c>
      <c r="AL267" s="109">
        <f>IF(SUM($J266:AL266)=1,1,0)+AK267</f>
        <v>1</v>
      </c>
      <c r="AM267" s="109">
        <f>IF(SUM($J266:AM266)=1,1,0)+AL267</f>
        <v>1</v>
      </c>
      <c r="AN267" s="109"/>
      <c r="AO267" s="109"/>
      <c r="AP267" s="109"/>
      <c r="AQ267" s="109"/>
      <c r="AR267" s="109"/>
      <c r="AS267" s="109"/>
      <c r="AT267" s="109"/>
      <c r="AU267" s="109"/>
      <c r="AV267" s="109"/>
      <c r="AW267" s="109"/>
      <c r="AX267" s="109"/>
      <c r="AY267" s="109"/>
      <c r="AZ267" s="109"/>
      <c r="BA267" s="109"/>
      <c r="BB267" s="109"/>
      <c r="BC267" s="109"/>
      <c r="BD267" s="109"/>
      <c r="BE267" s="100"/>
      <c r="BF267" s="100"/>
      <c r="BG267" s="100"/>
      <c r="BH267" s="100"/>
    </row>
    <row r="268" spans="1:60" ht="15.65" customHeight="1" x14ac:dyDescent="0.5">
      <c r="A268" s="25"/>
      <c r="B268" s="25"/>
      <c r="C268" s="98" t="s">
        <v>117</v>
      </c>
      <c r="D268" s="99"/>
      <c r="E268" s="99"/>
      <c r="F268" s="106"/>
      <c r="G268" s="99"/>
      <c r="H268" s="99"/>
      <c r="I268" s="99"/>
      <c r="J268" s="107">
        <f>SUM($J263:J263)</f>
        <v>1</v>
      </c>
      <c r="K268" s="107">
        <f>SUM($J263:K263)</f>
        <v>2</v>
      </c>
      <c r="L268" s="107">
        <f>SUM($J263:L263)</f>
        <v>3</v>
      </c>
      <c r="M268" s="107">
        <f>SUM($J263:M263)</f>
        <v>4</v>
      </c>
      <c r="N268" s="107">
        <f>SUM($J263:N263)</f>
        <v>5</v>
      </c>
      <c r="O268" s="107">
        <f>SUM($J263:O263)</f>
        <v>6</v>
      </c>
      <c r="P268" s="107">
        <f>SUM($J263:P263)</f>
        <v>7</v>
      </c>
      <c r="Q268" s="107">
        <f>SUM($J263:Q263)</f>
        <v>8</v>
      </c>
      <c r="R268" s="107">
        <f>SUM($J263:R263)</f>
        <v>9</v>
      </c>
      <c r="S268" s="107">
        <f>SUM($J263:S263)</f>
        <v>10</v>
      </c>
      <c r="T268" s="107">
        <f>SUM($J263:T263)</f>
        <v>11</v>
      </c>
      <c r="U268" s="107">
        <f>SUM($J263:U263)</f>
        <v>12</v>
      </c>
      <c r="V268" s="107">
        <f>SUM($J263:V263)</f>
        <v>13</v>
      </c>
      <c r="W268" s="107">
        <f>SUM($J263:W263)</f>
        <v>14</v>
      </c>
      <c r="X268" s="107">
        <f>SUM($J263:X263)</f>
        <v>15</v>
      </c>
      <c r="Y268" s="107">
        <f>SUM($J263:Y263)</f>
        <v>16</v>
      </c>
      <c r="Z268" s="107">
        <f>SUM($J263:Z263)</f>
        <v>17</v>
      </c>
      <c r="AA268" s="107">
        <f>SUM($J263:AA263)</f>
        <v>18</v>
      </c>
      <c r="AB268" s="107">
        <f>SUM($J263:AB263)</f>
        <v>19</v>
      </c>
      <c r="AC268" s="107">
        <f>SUM($J263:AC263)</f>
        <v>20</v>
      </c>
      <c r="AD268" s="107">
        <f>SUM($J263:AD263)</f>
        <v>21</v>
      </c>
      <c r="AE268" s="107">
        <f>SUM($J263:AE263)</f>
        <v>22</v>
      </c>
      <c r="AF268" s="107">
        <f>SUM($J263:AF263)</f>
        <v>23</v>
      </c>
      <c r="AG268" s="107">
        <f>SUM($J263:AG263)</f>
        <v>24</v>
      </c>
      <c r="AH268" s="107">
        <f>SUM($J263:AH263)</f>
        <v>25</v>
      </c>
      <c r="AI268" s="107">
        <f>SUM($J263:AI263)</f>
        <v>26</v>
      </c>
      <c r="AJ268" s="107">
        <f>SUM($J263:AJ263)</f>
        <v>27</v>
      </c>
      <c r="AK268" s="107">
        <f>SUM($J263:AK263)</f>
        <v>28</v>
      </c>
      <c r="AL268" s="107">
        <f>SUM($J263:AL263)</f>
        <v>29</v>
      </c>
      <c r="AM268" s="107">
        <f>SUM($J263:AM263)</f>
        <v>30</v>
      </c>
      <c r="AN268" s="107"/>
      <c r="AO268" s="107"/>
      <c r="AP268" s="107"/>
      <c r="AQ268" s="107"/>
      <c r="AR268" s="107"/>
      <c r="AS268" s="107"/>
      <c r="AT268" s="107"/>
      <c r="AU268" s="107"/>
      <c r="AV268" s="107"/>
      <c r="AW268" s="107"/>
      <c r="AX268" s="107"/>
      <c r="AY268" s="107"/>
      <c r="AZ268" s="107"/>
      <c r="BA268" s="107"/>
      <c r="BB268" s="107"/>
      <c r="BC268" s="107"/>
      <c r="BD268" s="107"/>
      <c r="BE268" s="107"/>
      <c r="BF268" s="107"/>
      <c r="BG268" s="107"/>
      <c r="BH268" s="107"/>
    </row>
    <row r="269" spans="1:60" x14ac:dyDescent="0.5">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row>
    <row r="270" spans="1:60" x14ac:dyDescent="0.5">
      <c r="A270" s="25"/>
      <c r="B270" s="25"/>
      <c r="C270" s="25" t="s">
        <v>95</v>
      </c>
      <c r="D270" s="25" t="s">
        <v>1</v>
      </c>
      <c r="E270" s="25"/>
      <c r="G270" s="25"/>
      <c r="H270" s="105">
        <f>J270+NPV(discountrate,K270:AK270)</f>
        <v>0</v>
      </c>
      <c r="I270" s="25"/>
      <c r="J270" s="105">
        <f t="shared" ref="J270:AM270" si="180">INDEX(dischargevolumes,MATCH($C270,volumesnames,0),MATCH(J$7,years,0))</f>
        <v>0</v>
      </c>
      <c r="K270" s="105">
        <f t="shared" si="180"/>
        <v>0</v>
      </c>
      <c r="L270" s="105">
        <f t="shared" si="180"/>
        <v>0</v>
      </c>
      <c r="M270" s="105">
        <f t="shared" si="180"/>
        <v>0</v>
      </c>
      <c r="N270" s="105">
        <f t="shared" si="180"/>
        <v>0</v>
      </c>
      <c r="O270" s="105">
        <f t="shared" si="180"/>
        <v>0</v>
      </c>
      <c r="P270" s="105">
        <f t="shared" si="180"/>
        <v>0</v>
      </c>
      <c r="Q270" s="105">
        <f t="shared" si="180"/>
        <v>0</v>
      </c>
      <c r="R270" s="105">
        <f t="shared" si="180"/>
        <v>0</v>
      </c>
      <c r="S270" s="105">
        <f t="shared" si="180"/>
        <v>0</v>
      </c>
      <c r="T270" s="105">
        <f t="shared" si="180"/>
        <v>0</v>
      </c>
      <c r="U270" s="105">
        <f t="shared" si="180"/>
        <v>0</v>
      </c>
      <c r="V270" s="105">
        <f t="shared" si="180"/>
        <v>0</v>
      </c>
      <c r="W270" s="105">
        <f t="shared" si="180"/>
        <v>0</v>
      </c>
      <c r="X270" s="105">
        <f t="shared" si="180"/>
        <v>0</v>
      </c>
      <c r="Y270" s="105">
        <f t="shared" si="180"/>
        <v>0</v>
      </c>
      <c r="Z270" s="105">
        <f t="shared" si="180"/>
        <v>0</v>
      </c>
      <c r="AA270" s="105">
        <f t="shared" si="180"/>
        <v>0</v>
      </c>
      <c r="AB270" s="105">
        <f t="shared" si="180"/>
        <v>0</v>
      </c>
      <c r="AC270" s="105">
        <f t="shared" si="180"/>
        <v>0</v>
      </c>
      <c r="AD270" s="105">
        <f t="shared" si="180"/>
        <v>0</v>
      </c>
      <c r="AE270" s="105">
        <f t="shared" si="180"/>
        <v>0</v>
      </c>
      <c r="AF270" s="105">
        <f t="shared" si="180"/>
        <v>0</v>
      </c>
      <c r="AG270" s="105">
        <f t="shared" si="180"/>
        <v>0</v>
      </c>
      <c r="AH270" s="105">
        <f t="shared" si="180"/>
        <v>0</v>
      </c>
      <c r="AI270" s="105">
        <f t="shared" si="180"/>
        <v>0</v>
      </c>
      <c r="AJ270" s="105">
        <f t="shared" si="180"/>
        <v>0</v>
      </c>
      <c r="AK270" s="105">
        <f t="shared" si="180"/>
        <v>0</v>
      </c>
      <c r="AL270" s="105">
        <f t="shared" si="180"/>
        <v>0</v>
      </c>
      <c r="AM270" s="105">
        <f t="shared" si="180"/>
        <v>0</v>
      </c>
      <c r="AN270" s="25"/>
      <c r="AO270" s="25"/>
      <c r="AP270" s="25"/>
      <c r="AQ270" s="25"/>
      <c r="AR270" s="25"/>
      <c r="AS270" s="25"/>
      <c r="AT270" s="25"/>
      <c r="AU270" s="25"/>
      <c r="AV270" s="25"/>
      <c r="AW270" s="25"/>
      <c r="AX270" s="25"/>
      <c r="AY270" s="25"/>
      <c r="AZ270" s="25"/>
    </row>
    <row r="271" spans="1:60" x14ac:dyDescent="0.5">
      <c r="A271" s="25"/>
      <c r="B271" s="25"/>
      <c r="C271" s="25" t="s">
        <v>147</v>
      </c>
      <c r="D271" s="25" t="s">
        <v>150</v>
      </c>
      <c r="E271" s="25"/>
      <c r="F271" s="106"/>
      <c r="G271" s="25"/>
      <c r="H271" s="25"/>
      <c r="I271" s="25"/>
      <c r="J271" s="105">
        <f>J280</f>
        <v>0</v>
      </c>
      <c r="K271" s="105">
        <f t="shared" ref="K271:AM271" si="181">K280</f>
        <v>0</v>
      </c>
      <c r="L271" s="105">
        <f t="shared" si="181"/>
        <v>0</v>
      </c>
      <c r="M271" s="105">
        <f t="shared" si="181"/>
        <v>0</v>
      </c>
      <c r="N271" s="105">
        <f t="shared" si="181"/>
        <v>0</v>
      </c>
      <c r="O271" s="105">
        <f t="shared" si="181"/>
        <v>0</v>
      </c>
      <c r="P271" s="105">
        <f t="shared" si="181"/>
        <v>0</v>
      </c>
      <c r="Q271" s="105">
        <f t="shared" si="181"/>
        <v>0</v>
      </c>
      <c r="R271" s="105">
        <f t="shared" si="181"/>
        <v>0</v>
      </c>
      <c r="S271" s="105">
        <f t="shared" si="181"/>
        <v>0</v>
      </c>
      <c r="T271" s="105">
        <f t="shared" si="181"/>
        <v>0</v>
      </c>
      <c r="U271" s="105">
        <f t="shared" si="181"/>
        <v>0</v>
      </c>
      <c r="V271" s="105">
        <f t="shared" si="181"/>
        <v>0</v>
      </c>
      <c r="W271" s="105">
        <f t="shared" si="181"/>
        <v>0</v>
      </c>
      <c r="X271" s="105">
        <f t="shared" si="181"/>
        <v>0</v>
      </c>
      <c r="Y271" s="105">
        <f t="shared" si="181"/>
        <v>0</v>
      </c>
      <c r="Z271" s="105">
        <f t="shared" si="181"/>
        <v>0</v>
      </c>
      <c r="AA271" s="105">
        <f t="shared" si="181"/>
        <v>0</v>
      </c>
      <c r="AB271" s="105">
        <f t="shared" si="181"/>
        <v>0</v>
      </c>
      <c r="AC271" s="105">
        <f t="shared" si="181"/>
        <v>0</v>
      </c>
      <c r="AD271" s="105">
        <f t="shared" si="181"/>
        <v>0</v>
      </c>
      <c r="AE271" s="105">
        <f t="shared" si="181"/>
        <v>0</v>
      </c>
      <c r="AF271" s="105">
        <f t="shared" si="181"/>
        <v>0</v>
      </c>
      <c r="AG271" s="105">
        <f t="shared" si="181"/>
        <v>0</v>
      </c>
      <c r="AH271" s="105">
        <f t="shared" si="181"/>
        <v>0</v>
      </c>
      <c r="AI271" s="105">
        <f t="shared" si="181"/>
        <v>0</v>
      </c>
      <c r="AJ271" s="105">
        <f t="shared" si="181"/>
        <v>0</v>
      </c>
      <c r="AK271" s="105">
        <f t="shared" si="181"/>
        <v>0</v>
      </c>
      <c r="AL271" s="105">
        <f t="shared" si="181"/>
        <v>0</v>
      </c>
      <c r="AM271" s="105">
        <f t="shared" si="181"/>
        <v>0</v>
      </c>
      <c r="AN271" s="25"/>
      <c r="AO271" s="25"/>
      <c r="AP271" s="25"/>
      <c r="AQ271" s="25"/>
      <c r="AR271" s="25"/>
      <c r="AS271" s="25"/>
      <c r="AT271" s="25"/>
      <c r="AU271" s="25"/>
      <c r="AV271" s="25"/>
      <c r="AW271" s="25"/>
      <c r="AX271" s="25"/>
      <c r="AY271" s="25"/>
      <c r="AZ271" s="25"/>
    </row>
    <row r="272" spans="1:60" x14ac:dyDescent="0.5">
      <c r="A272" s="25"/>
      <c r="B272" s="25"/>
      <c r="C272" s="25" t="s">
        <v>23</v>
      </c>
      <c r="D272" s="25" t="s">
        <v>131</v>
      </c>
      <c r="E272" s="25"/>
      <c r="F272" s="106" t="s">
        <v>129</v>
      </c>
      <c r="G272" s="25"/>
      <c r="I272" s="25"/>
      <c r="J272" s="104" cm="1">
        <f t="array" ref="J272">IF(J267=0,0,INDEX(capex,MATCH($B226,assetnames,0),J267))</f>
        <v>0</v>
      </c>
      <c r="K272" s="104" cm="1">
        <f t="array" ref="K272">IF(K267=0,0,INDEX(capex,MATCH($B226,assetnames,0),K267))</f>
        <v>0</v>
      </c>
      <c r="L272" s="104" cm="1">
        <f t="array" ref="L272">IF(L267=0,0,INDEX(capex,MATCH($B226,assetnames,0),L267))</f>
        <v>0</v>
      </c>
      <c r="M272" s="104" cm="1">
        <f t="array" ref="M272">IF(M267=0,0,INDEX(capex,MATCH($B226,assetnames,0),M267))</f>
        <v>0</v>
      </c>
      <c r="N272" s="104" cm="1">
        <f t="array" ref="N272">IF(N267=0,0,INDEX(capex,MATCH($B226,assetnames,0),N267))</f>
        <v>0</v>
      </c>
      <c r="O272" s="104" cm="1">
        <f t="array" ref="O272">IF(O267=0,0,INDEX(capex,MATCH($B226,assetnames,0),O267))</f>
        <v>0</v>
      </c>
      <c r="P272" s="104" cm="1">
        <f t="array" ref="P272">IF(P267=0,0,INDEX(capex,MATCH($B226,assetnames,0),P267))</f>
        <v>0</v>
      </c>
      <c r="Q272" s="104" cm="1">
        <f t="array" ref="Q272">IF(Q267=0,0,INDEX(capex,MATCH($B226,assetnames,0),Q267))</f>
        <v>0</v>
      </c>
      <c r="R272" s="104" cm="1">
        <f t="array" ref="R272">IF(R267=0,0,INDEX(capex,MATCH($B226,assetnames,0),R267))</f>
        <v>0</v>
      </c>
      <c r="S272" s="104" cm="1">
        <f t="array" ref="S272">IF(S267=0,0,INDEX(capex,MATCH($B226,assetnames,0),S267))</f>
        <v>0</v>
      </c>
      <c r="T272" s="104" cm="1">
        <f t="array" ref="T272">IF(T267=0,0,INDEX(capex,MATCH($B226,assetnames,0),T267))</f>
        <v>0</v>
      </c>
      <c r="U272" s="104" cm="1">
        <f t="array" ref="U272">IF(U267=0,0,INDEX(capex,MATCH($B226,assetnames,0),U267))</f>
        <v>0</v>
      </c>
      <c r="V272" s="104" cm="1">
        <f t="array" ref="V272">IF(V267=0,0,INDEX(capex,MATCH($B226,assetnames,0),V267))</f>
        <v>0</v>
      </c>
      <c r="W272" s="104" cm="1">
        <f t="array" ref="W272">IF(W267=0,0,INDEX(capex,MATCH($B226,assetnames,0),W267))</f>
        <v>0</v>
      </c>
      <c r="X272" s="104" cm="1">
        <f t="array" ref="X272">IF(X267=0,0,INDEX(capex,MATCH($B226,assetnames,0),X267))</f>
        <v>0</v>
      </c>
      <c r="Y272" s="104" cm="1">
        <f t="array" ref="Y272">IF(Y267=0,0,INDEX(capex,MATCH($B226,assetnames,0),Y267))</f>
        <v>0</v>
      </c>
      <c r="Z272" s="104" cm="1">
        <f t="array" ref="Z272">IF(Z267=0,0,INDEX(capex,MATCH($B226,assetnames,0),Z267))</f>
        <v>0</v>
      </c>
      <c r="AA272" s="104" cm="1">
        <f t="array" ref="AA272">IF(AA267=0,0,INDEX(capex,MATCH($B226,assetnames,0),AA267))</f>
        <v>0</v>
      </c>
      <c r="AB272" s="104" cm="1">
        <f t="array" ref="AB272">IF(AB267=0,0,INDEX(capex,MATCH($B226,assetnames,0),AB267))</f>
        <v>0</v>
      </c>
      <c r="AC272" s="104" cm="1">
        <f t="array" ref="AC272">IF(AC267=0,0,INDEX(capex,MATCH($B226,assetnames,0),AC267))</f>
        <v>0</v>
      </c>
      <c r="AD272" s="104" cm="1">
        <f t="array" ref="AD272">IF(AD267=0,0,INDEX(capex,MATCH($B226,assetnames,0),AD267))</f>
        <v>0</v>
      </c>
      <c r="AE272" s="104" cm="1">
        <f t="array" ref="AE272">IF(AE267=0,0,INDEX(capex,MATCH($B226,assetnames,0),AE267))</f>
        <v>0</v>
      </c>
      <c r="AF272" s="104" cm="1">
        <f t="array" ref="AF272">IF(AF267=0,0,INDEX(capex,MATCH($B226,assetnames,0),AF267))</f>
        <v>0</v>
      </c>
      <c r="AG272" s="104" cm="1">
        <f t="array" ref="AG272">IF(AG267=0,0,INDEX(capex,MATCH($B226,assetnames,0),AG267))</f>
        <v>0</v>
      </c>
      <c r="AH272" s="104" cm="1">
        <f t="array" ref="AH272">IF(AH267=0,0,INDEX(capex,MATCH($B226,assetnames,0),AH267))</f>
        <v>0</v>
      </c>
      <c r="AI272" s="104" cm="1">
        <f t="array" ref="AI272">IF(AI267=0,0,INDEX(capex,MATCH($B226,assetnames,0),AI267))</f>
        <v>0</v>
      </c>
      <c r="AJ272" s="104" cm="1">
        <f t="array" ref="AJ272">IF(AJ267=0,0,INDEX(capex,MATCH($B226,assetnames,0),AJ267))</f>
        <v>0</v>
      </c>
      <c r="AK272" s="104" cm="1">
        <f t="array" ref="AK272">IF(AK267=0,0,INDEX(capex,MATCH($B226,assetnames,0),AK267))</f>
        <v>0</v>
      </c>
      <c r="AL272" s="104" cm="1">
        <f t="array" ref="AL272">IF(AL267=0,0,INDEX(capex,MATCH($B226,assetnames,0),AL267))</f>
        <v>0</v>
      </c>
      <c r="AM272" s="104" cm="1">
        <f t="array" ref="AM272">IF(AM267=0,0,INDEX(capex,MATCH($B226,assetnames,0),AM267))</f>
        <v>0</v>
      </c>
      <c r="AN272" s="25"/>
      <c r="AO272" s="25"/>
      <c r="AP272" s="25"/>
      <c r="AQ272" s="25"/>
      <c r="AR272" s="25"/>
      <c r="AS272" s="25"/>
      <c r="AT272" s="25"/>
      <c r="AU272" s="25"/>
      <c r="AV272" s="25"/>
      <c r="AW272" s="25"/>
      <c r="AX272" s="25"/>
      <c r="AY272" s="25"/>
      <c r="AZ272" s="25"/>
    </row>
    <row r="273" spans="1:60" x14ac:dyDescent="0.5">
      <c r="A273" s="25"/>
      <c r="B273" s="25"/>
      <c r="C273" s="25" t="s">
        <v>24</v>
      </c>
      <c r="D273" s="25" t="s">
        <v>131</v>
      </c>
      <c r="E273" s="25"/>
      <c r="F273" s="121" t="str">
        <f>IF(H274=0,"",INDEX($J$7:$AM$7,1,MATCH(1,$J266:$AM266,0)))</f>
        <v/>
      </c>
      <c r="G273" s="25"/>
      <c r="H273" s="25"/>
      <c r="I273" s="25"/>
      <c r="J273" s="104">
        <f t="shared" ref="J273:AM273" si="182">IF(J263=1,INDEX(opex,MATCH($B226,assetnames,0),J268),0)</f>
        <v>0</v>
      </c>
      <c r="K273" s="104">
        <f t="shared" si="182"/>
        <v>0</v>
      </c>
      <c r="L273" s="104">
        <f t="shared" si="182"/>
        <v>0</v>
      </c>
      <c r="M273" s="104">
        <f t="shared" si="182"/>
        <v>0</v>
      </c>
      <c r="N273" s="104">
        <f t="shared" si="182"/>
        <v>0</v>
      </c>
      <c r="O273" s="104">
        <f t="shared" si="182"/>
        <v>0</v>
      </c>
      <c r="P273" s="104">
        <f t="shared" si="182"/>
        <v>0</v>
      </c>
      <c r="Q273" s="104">
        <f t="shared" si="182"/>
        <v>0</v>
      </c>
      <c r="R273" s="104">
        <f t="shared" si="182"/>
        <v>0</v>
      </c>
      <c r="S273" s="104">
        <f t="shared" si="182"/>
        <v>0</v>
      </c>
      <c r="T273" s="104">
        <f t="shared" si="182"/>
        <v>0</v>
      </c>
      <c r="U273" s="104">
        <f t="shared" si="182"/>
        <v>0</v>
      </c>
      <c r="V273" s="104">
        <f t="shared" si="182"/>
        <v>0</v>
      </c>
      <c r="W273" s="104">
        <f t="shared" si="182"/>
        <v>0</v>
      </c>
      <c r="X273" s="104">
        <f t="shared" si="182"/>
        <v>0</v>
      </c>
      <c r="Y273" s="104">
        <f t="shared" si="182"/>
        <v>0</v>
      </c>
      <c r="Z273" s="104">
        <f t="shared" si="182"/>
        <v>0</v>
      </c>
      <c r="AA273" s="104">
        <f t="shared" si="182"/>
        <v>0</v>
      </c>
      <c r="AB273" s="104">
        <f t="shared" si="182"/>
        <v>0</v>
      </c>
      <c r="AC273" s="104">
        <f t="shared" si="182"/>
        <v>0</v>
      </c>
      <c r="AD273" s="104">
        <f t="shared" si="182"/>
        <v>0</v>
      </c>
      <c r="AE273" s="104">
        <f t="shared" si="182"/>
        <v>0</v>
      </c>
      <c r="AF273" s="104">
        <f t="shared" si="182"/>
        <v>0</v>
      </c>
      <c r="AG273" s="104">
        <f t="shared" si="182"/>
        <v>0</v>
      </c>
      <c r="AH273" s="104">
        <f t="shared" si="182"/>
        <v>0</v>
      </c>
      <c r="AI273" s="104">
        <f t="shared" si="182"/>
        <v>0</v>
      </c>
      <c r="AJ273" s="104">
        <f t="shared" si="182"/>
        <v>0</v>
      </c>
      <c r="AK273" s="104">
        <f t="shared" si="182"/>
        <v>0</v>
      </c>
      <c r="AL273" s="104">
        <f t="shared" si="182"/>
        <v>0</v>
      </c>
      <c r="AM273" s="104">
        <f t="shared" si="182"/>
        <v>0</v>
      </c>
      <c r="AN273" s="25"/>
      <c r="AO273" s="25"/>
      <c r="AP273" s="25"/>
      <c r="AQ273" s="25"/>
      <c r="AR273" s="25"/>
      <c r="AS273" s="25"/>
      <c r="AT273" s="25"/>
      <c r="AU273" s="25"/>
      <c r="AV273" s="25"/>
      <c r="AW273" s="25"/>
      <c r="AX273" s="25"/>
      <c r="AY273" s="25"/>
      <c r="AZ273" s="25"/>
    </row>
    <row r="274" spans="1:60" s="101" customFormat="1" x14ac:dyDescent="0.5">
      <c r="A274" s="26"/>
      <c r="B274" s="26"/>
      <c r="C274" s="26" t="s">
        <v>25</v>
      </c>
      <c r="D274" s="26" t="s">
        <v>131</v>
      </c>
      <c r="E274" s="26"/>
      <c r="F274" s="26"/>
      <c r="G274" s="26"/>
      <c r="H274" s="105">
        <f>J274+NPV(discountrate,K274:AK274)</f>
        <v>0</v>
      </c>
      <c r="I274" s="26"/>
      <c r="J274" s="105">
        <f>SUM(J271:J273)</f>
        <v>0</v>
      </c>
      <c r="K274" s="105">
        <f t="shared" ref="K274:AM274" si="183">SUM(K271:K273)</f>
        <v>0</v>
      </c>
      <c r="L274" s="105">
        <f t="shared" si="183"/>
        <v>0</v>
      </c>
      <c r="M274" s="105">
        <f t="shared" si="183"/>
        <v>0</v>
      </c>
      <c r="N274" s="105">
        <f t="shared" si="183"/>
        <v>0</v>
      </c>
      <c r="O274" s="105">
        <f t="shared" si="183"/>
        <v>0</v>
      </c>
      <c r="P274" s="105">
        <f t="shared" si="183"/>
        <v>0</v>
      </c>
      <c r="Q274" s="105">
        <f t="shared" si="183"/>
        <v>0</v>
      </c>
      <c r="R274" s="105">
        <f t="shared" si="183"/>
        <v>0</v>
      </c>
      <c r="S274" s="105">
        <f t="shared" si="183"/>
        <v>0</v>
      </c>
      <c r="T274" s="105">
        <f t="shared" si="183"/>
        <v>0</v>
      </c>
      <c r="U274" s="105">
        <f t="shared" si="183"/>
        <v>0</v>
      </c>
      <c r="V274" s="105">
        <f t="shared" si="183"/>
        <v>0</v>
      </c>
      <c r="W274" s="105">
        <f t="shared" si="183"/>
        <v>0</v>
      </c>
      <c r="X274" s="105">
        <f t="shared" si="183"/>
        <v>0</v>
      </c>
      <c r="Y274" s="105">
        <f t="shared" si="183"/>
        <v>0</v>
      </c>
      <c r="Z274" s="105">
        <f t="shared" si="183"/>
        <v>0</v>
      </c>
      <c r="AA274" s="105">
        <f t="shared" si="183"/>
        <v>0</v>
      </c>
      <c r="AB274" s="105">
        <f t="shared" si="183"/>
        <v>0</v>
      </c>
      <c r="AC274" s="105">
        <f t="shared" si="183"/>
        <v>0</v>
      </c>
      <c r="AD274" s="105">
        <f t="shared" si="183"/>
        <v>0</v>
      </c>
      <c r="AE274" s="105">
        <f t="shared" si="183"/>
        <v>0</v>
      </c>
      <c r="AF274" s="105">
        <f t="shared" si="183"/>
        <v>0</v>
      </c>
      <c r="AG274" s="105">
        <f t="shared" si="183"/>
        <v>0</v>
      </c>
      <c r="AH274" s="105">
        <f t="shared" si="183"/>
        <v>0</v>
      </c>
      <c r="AI274" s="105">
        <f t="shared" si="183"/>
        <v>0</v>
      </c>
      <c r="AJ274" s="105">
        <f t="shared" si="183"/>
        <v>0</v>
      </c>
      <c r="AK274" s="105">
        <f t="shared" si="183"/>
        <v>0</v>
      </c>
      <c r="AL274" s="105">
        <f t="shared" si="183"/>
        <v>0</v>
      </c>
      <c r="AM274" s="105">
        <f t="shared" si="183"/>
        <v>0</v>
      </c>
      <c r="AN274" s="26"/>
      <c r="AO274" s="26"/>
      <c r="AP274" s="26"/>
      <c r="AQ274" s="26"/>
      <c r="AR274" s="26"/>
      <c r="AS274" s="26"/>
      <c r="AT274" s="26"/>
      <c r="AU274" s="26"/>
      <c r="AV274" s="26"/>
      <c r="AW274" s="26"/>
      <c r="AX274" s="26"/>
      <c r="AY274" s="26"/>
      <c r="AZ274" s="26"/>
    </row>
    <row r="275" spans="1:60" s="101" customFormat="1" x14ac:dyDescent="0.5">
      <c r="A275" s="26"/>
      <c r="B275" s="26"/>
      <c r="C275" s="26"/>
      <c r="D275" s="26"/>
      <c r="E275" s="26"/>
      <c r="F275" s="26"/>
      <c r="G275" s="26"/>
      <c r="H275" s="154"/>
      <c r="I275" s="26"/>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4"/>
      <c r="AL275" s="154"/>
      <c r="AM275" s="154"/>
      <c r="AN275" s="26"/>
      <c r="AO275" s="26"/>
      <c r="AP275" s="26"/>
      <c r="AQ275" s="26"/>
      <c r="AR275" s="26"/>
      <c r="AS275" s="26"/>
      <c r="AT275" s="26"/>
      <c r="AU275" s="26"/>
      <c r="AV275" s="26"/>
      <c r="AW275" s="26"/>
      <c r="AX275" s="26"/>
      <c r="AY275" s="26"/>
      <c r="AZ275" s="26"/>
    </row>
    <row r="276" spans="1:60" s="101" customFormat="1" x14ac:dyDescent="0.5">
      <c r="A276" s="26"/>
      <c r="B276" s="26"/>
      <c r="C276" s="26" t="s">
        <v>147</v>
      </c>
      <c r="D276" s="26"/>
      <c r="E276" s="26"/>
      <c r="F276" s="26"/>
      <c r="G276" s="26"/>
      <c r="H276" s="154"/>
      <c r="I276" s="26"/>
      <c r="J276" s="154"/>
      <c r="K276" s="154"/>
      <c r="L276" s="154"/>
      <c r="M276" s="154"/>
      <c r="N276" s="154"/>
      <c r="O276" s="154"/>
      <c r="P276" s="154"/>
      <c r="Q276" s="154"/>
      <c r="R276" s="154"/>
      <c r="S276" s="154"/>
      <c r="T276" s="154"/>
      <c r="U276" s="154"/>
      <c r="V276" s="154"/>
      <c r="W276" s="154"/>
      <c r="X276" s="154"/>
      <c r="Y276" s="154"/>
      <c r="Z276" s="154"/>
      <c r="AA276" s="154"/>
      <c r="AB276" s="154"/>
      <c r="AC276" s="154"/>
      <c r="AD276" s="154"/>
      <c r="AE276" s="154"/>
      <c r="AF276" s="154"/>
      <c r="AG276" s="154"/>
      <c r="AH276" s="154"/>
      <c r="AI276" s="154"/>
      <c r="AJ276" s="154"/>
      <c r="AK276" s="154"/>
      <c r="AL276" s="154"/>
      <c r="AM276" s="154"/>
      <c r="AN276" s="26"/>
      <c r="AO276" s="26"/>
      <c r="AP276" s="26"/>
      <c r="AQ276" s="26"/>
      <c r="AR276" s="26"/>
      <c r="AS276" s="26"/>
      <c r="AT276" s="26"/>
      <c r="AU276" s="26"/>
      <c r="AV276" s="26"/>
      <c r="AW276" s="26"/>
      <c r="AX276" s="26"/>
      <c r="AY276" s="26"/>
      <c r="AZ276" s="26"/>
    </row>
    <row r="277" spans="1:60" s="101" customFormat="1" x14ac:dyDescent="0.5">
      <c r="A277" s="26"/>
      <c r="B277" s="26"/>
      <c r="C277" s="26"/>
      <c r="D277" s="26"/>
      <c r="E277" s="26"/>
      <c r="F277" s="26"/>
      <c r="G277" s="26"/>
      <c r="H277" s="157"/>
      <c r="I277" s="26"/>
      <c r="J277" s="157"/>
      <c r="K277" s="157"/>
      <c r="L277" s="157"/>
      <c r="M277" s="157"/>
      <c r="N277" s="157"/>
      <c r="O277" s="157"/>
      <c r="P277" s="157"/>
      <c r="Q277" s="157"/>
      <c r="R277" s="157"/>
      <c r="S277" s="157"/>
      <c r="T277" s="157"/>
      <c r="U277" s="157"/>
      <c r="V277" s="157"/>
      <c r="W277" s="157"/>
      <c r="X277" s="157"/>
      <c r="Y277" s="157"/>
      <c r="Z277" s="157"/>
      <c r="AA277" s="157"/>
      <c r="AB277" s="157"/>
      <c r="AC277" s="157"/>
      <c r="AD277" s="157"/>
      <c r="AE277" s="157"/>
      <c r="AF277" s="157"/>
      <c r="AG277" s="157"/>
      <c r="AH277" s="157"/>
      <c r="AI277" s="157"/>
      <c r="AJ277" s="157"/>
      <c r="AK277" s="157"/>
      <c r="AL277" s="157"/>
      <c r="AM277" s="157"/>
      <c r="AN277" s="26"/>
      <c r="AO277" s="26"/>
      <c r="AP277" s="26"/>
      <c r="AQ277" s="26"/>
      <c r="AR277" s="26"/>
      <c r="AS277" s="26"/>
      <c r="AT277" s="26"/>
      <c r="AU277" s="26"/>
      <c r="AV277" s="26"/>
      <c r="AW277" s="26"/>
      <c r="AX277" s="26"/>
      <c r="AY277" s="26"/>
      <c r="AZ277" s="26"/>
    </row>
    <row r="278" spans="1:60" s="101" customFormat="1" x14ac:dyDescent="0.5">
      <c r="A278" s="26"/>
      <c r="B278" s="26"/>
      <c r="C278" s="25" t="s">
        <v>95</v>
      </c>
      <c r="D278" s="25" t="s">
        <v>35</v>
      </c>
      <c r="E278" s="26"/>
      <c r="F278" s="26"/>
      <c r="G278" s="26"/>
      <c r="H278" s="157"/>
      <c r="I278" s="26"/>
      <c r="J278" s="105">
        <f t="shared" ref="J278:AM278" si="184">INDEX(dischargevolumes,MATCH($C278,volumesnames,0),MATCH(J$7,years,0))</f>
        <v>0</v>
      </c>
      <c r="K278" s="105">
        <f t="shared" si="184"/>
        <v>0</v>
      </c>
      <c r="L278" s="105">
        <f t="shared" si="184"/>
        <v>0</v>
      </c>
      <c r="M278" s="105">
        <f t="shared" si="184"/>
        <v>0</v>
      </c>
      <c r="N278" s="105">
        <f t="shared" si="184"/>
        <v>0</v>
      </c>
      <c r="O278" s="105">
        <f t="shared" si="184"/>
        <v>0</v>
      </c>
      <c r="P278" s="105">
        <f t="shared" si="184"/>
        <v>0</v>
      </c>
      <c r="Q278" s="105">
        <f t="shared" si="184"/>
        <v>0</v>
      </c>
      <c r="R278" s="105">
        <f t="shared" si="184"/>
        <v>0</v>
      </c>
      <c r="S278" s="105">
        <f t="shared" si="184"/>
        <v>0</v>
      </c>
      <c r="T278" s="105">
        <f t="shared" si="184"/>
        <v>0</v>
      </c>
      <c r="U278" s="105">
        <f t="shared" si="184"/>
        <v>0</v>
      </c>
      <c r="V278" s="105">
        <f t="shared" si="184"/>
        <v>0</v>
      </c>
      <c r="W278" s="105">
        <f t="shared" si="184"/>
        <v>0</v>
      </c>
      <c r="X278" s="105">
        <f t="shared" si="184"/>
        <v>0</v>
      </c>
      <c r="Y278" s="105">
        <f t="shared" si="184"/>
        <v>0</v>
      </c>
      <c r="Z278" s="105">
        <f t="shared" si="184"/>
        <v>0</v>
      </c>
      <c r="AA278" s="105">
        <f t="shared" si="184"/>
        <v>0</v>
      </c>
      <c r="AB278" s="105">
        <f t="shared" si="184"/>
        <v>0</v>
      </c>
      <c r="AC278" s="105">
        <f t="shared" si="184"/>
        <v>0</v>
      </c>
      <c r="AD278" s="105">
        <f t="shared" si="184"/>
        <v>0</v>
      </c>
      <c r="AE278" s="105">
        <f t="shared" si="184"/>
        <v>0</v>
      </c>
      <c r="AF278" s="105">
        <f t="shared" si="184"/>
        <v>0</v>
      </c>
      <c r="AG278" s="105">
        <f t="shared" si="184"/>
        <v>0</v>
      </c>
      <c r="AH278" s="105">
        <f t="shared" si="184"/>
        <v>0</v>
      </c>
      <c r="AI278" s="105">
        <f t="shared" si="184"/>
        <v>0</v>
      </c>
      <c r="AJ278" s="105">
        <f t="shared" si="184"/>
        <v>0</v>
      </c>
      <c r="AK278" s="105">
        <f t="shared" si="184"/>
        <v>0</v>
      </c>
      <c r="AL278" s="105">
        <f t="shared" si="184"/>
        <v>0</v>
      </c>
      <c r="AM278" s="105">
        <f t="shared" si="184"/>
        <v>0</v>
      </c>
      <c r="AN278" s="26"/>
      <c r="AO278" s="26"/>
      <c r="AP278" s="26"/>
      <c r="AQ278" s="26"/>
      <c r="AR278" s="26"/>
      <c r="AS278" s="26"/>
      <c r="AT278" s="26"/>
      <c r="AU278" s="26"/>
      <c r="AV278" s="26"/>
      <c r="AW278" s="26"/>
      <c r="AX278" s="26"/>
      <c r="AY278" s="26"/>
      <c r="AZ278" s="26"/>
    </row>
    <row r="279" spans="1:60" s="101" customFormat="1" x14ac:dyDescent="0.5">
      <c r="A279" s="26"/>
      <c r="B279" s="26"/>
      <c r="C279" s="25" t="s">
        <v>148</v>
      </c>
      <c r="D279" s="25" t="s">
        <v>150</v>
      </c>
      <c r="E279" s="26"/>
      <c r="F279" s="26"/>
      <c r="G279" s="26"/>
      <c r="H279" s="157"/>
      <c r="I279" s="26"/>
      <c r="J279" s="105">
        <f t="shared" ref="J279:AM279" si="185">INDEX(dischargeexistingcost,MATCH(J$7,years,0))</f>
        <v>0</v>
      </c>
      <c r="K279" s="105">
        <f t="shared" si="185"/>
        <v>0</v>
      </c>
      <c r="L279" s="105">
        <f t="shared" si="185"/>
        <v>0</v>
      </c>
      <c r="M279" s="105">
        <f t="shared" si="185"/>
        <v>0</v>
      </c>
      <c r="N279" s="105">
        <f t="shared" si="185"/>
        <v>0</v>
      </c>
      <c r="O279" s="105">
        <f t="shared" si="185"/>
        <v>0</v>
      </c>
      <c r="P279" s="105">
        <f t="shared" si="185"/>
        <v>0</v>
      </c>
      <c r="Q279" s="105">
        <f t="shared" si="185"/>
        <v>0</v>
      </c>
      <c r="R279" s="105">
        <f t="shared" si="185"/>
        <v>0</v>
      </c>
      <c r="S279" s="105">
        <f t="shared" si="185"/>
        <v>0</v>
      </c>
      <c r="T279" s="105">
        <f t="shared" si="185"/>
        <v>0</v>
      </c>
      <c r="U279" s="105">
        <f t="shared" si="185"/>
        <v>0</v>
      </c>
      <c r="V279" s="105">
        <f t="shared" si="185"/>
        <v>0</v>
      </c>
      <c r="W279" s="105">
        <f t="shared" si="185"/>
        <v>0</v>
      </c>
      <c r="X279" s="105">
        <f t="shared" si="185"/>
        <v>0</v>
      </c>
      <c r="Y279" s="105">
        <f t="shared" si="185"/>
        <v>0</v>
      </c>
      <c r="Z279" s="105">
        <f t="shared" si="185"/>
        <v>0</v>
      </c>
      <c r="AA279" s="105">
        <f t="shared" si="185"/>
        <v>0</v>
      </c>
      <c r="AB279" s="105">
        <f t="shared" si="185"/>
        <v>0</v>
      </c>
      <c r="AC279" s="105">
        <f t="shared" si="185"/>
        <v>0</v>
      </c>
      <c r="AD279" s="105">
        <f t="shared" si="185"/>
        <v>0</v>
      </c>
      <c r="AE279" s="105">
        <f t="shared" si="185"/>
        <v>0</v>
      </c>
      <c r="AF279" s="105">
        <f t="shared" si="185"/>
        <v>0</v>
      </c>
      <c r="AG279" s="105">
        <f t="shared" si="185"/>
        <v>0</v>
      </c>
      <c r="AH279" s="105">
        <f t="shared" si="185"/>
        <v>0</v>
      </c>
      <c r="AI279" s="105">
        <f t="shared" si="185"/>
        <v>0</v>
      </c>
      <c r="AJ279" s="105">
        <f t="shared" si="185"/>
        <v>0</v>
      </c>
      <c r="AK279" s="105">
        <f t="shared" si="185"/>
        <v>0</v>
      </c>
      <c r="AL279" s="105">
        <f t="shared" si="185"/>
        <v>0</v>
      </c>
      <c r="AM279" s="105">
        <f t="shared" si="185"/>
        <v>0</v>
      </c>
      <c r="AN279" s="26"/>
      <c r="AO279" s="26"/>
      <c r="AP279" s="26"/>
      <c r="AQ279" s="26"/>
      <c r="AR279" s="26"/>
      <c r="AS279" s="26"/>
      <c r="AT279" s="26"/>
      <c r="AU279" s="26"/>
      <c r="AV279" s="26"/>
      <c r="AW279" s="26"/>
      <c r="AX279" s="26"/>
      <c r="AY279" s="26"/>
      <c r="AZ279" s="26"/>
    </row>
    <row r="280" spans="1:60" s="101" customFormat="1" x14ac:dyDescent="0.5">
      <c r="A280" s="26"/>
      <c r="B280" s="26"/>
      <c r="C280" s="26" t="s">
        <v>149</v>
      </c>
      <c r="D280" s="26" t="s">
        <v>150</v>
      </c>
      <c r="E280" s="26"/>
      <c r="F280" s="26"/>
      <c r="G280" s="26"/>
      <c r="H280" s="105">
        <f>J280+NPV(discountrate,K280:AM280)</f>
        <v>0</v>
      </c>
      <c r="I280" s="26"/>
      <c r="J280" s="105">
        <f>J278*J279</f>
        <v>0</v>
      </c>
      <c r="K280" s="105">
        <f t="shared" ref="K280" si="186">K278*K279</f>
        <v>0</v>
      </c>
      <c r="L280" s="105">
        <f t="shared" ref="L280" si="187">L278*L279</f>
        <v>0</v>
      </c>
      <c r="M280" s="105">
        <f t="shared" ref="M280" si="188">M278*M279</f>
        <v>0</v>
      </c>
      <c r="N280" s="105">
        <f t="shared" ref="N280" si="189">N278*N279</f>
        <v>0</v>
      </c>
      <c r="O280" s="105">
        <f t="shared" ref="O280" si="190">O278*O279</f>
        <v>0</v>
      </c>
      <c r="P280" s="105">
        <f t="shared" ref="P280" si="191">P278*P279</f>
        <v>0</v>
      </c>
      <c r="Q280" s="105">
        <f t="shared" ref="Q280" si="192">Q278*Q279</f>
        <v>0</v>
      </c>
      <c r="R280" s="105">
        <f t="shared" ref="R280" si="193">R278*R279</f>
        <v>0</v>
      </c>
      <c r="S280" s="105">
        <f t="shared" ref="S280" si="194">S278*S279</f>
        <v>0</v>
      </c>
      <c r="T280" s="105">
        <f t="shared" ref="T280" si="195">T278*T279</f>
        <v>0</v>
      </c>
      <c r="U280" s="105">
        <f t="shared" ref="U280" si="196">U278*U279</f>
        <v>0</v>
      </c>
      <c r="V280" s="105">
        <f t="shared" ref="V280" si="197">V278*V279</f>
        <v>0</v>
      </c>
      <c r="W280" s="105">
        <f t="shared" ref="W280" si="198">W278*W279</f>
        <v>0</v>
      </c>
      <c r="X280" s="105">
        <f t="shared" ref="X280" si="199">X278*X279</f>
        <v>0</v>
      </c>
      <c r="Y280" s="105">
        <f t="shared" ref="Y280" si="200">Y278*Y279</f>
        <v>0</v>
      </c>
      <c r="Z280" s="105">
        <f t="shared" ref="Z280" si="201">Z278*Z279</f>
        <v>0</v>
      </c>
      <c r="AA280" s="105">
        <f t="shared" ref="AA280" si="202">AA278*AA279</f>
        <v>0</v>
      </c>
      <c r="AB280" s="105">
        <f t="shared" ref="AB280" si="203">AB278*AB279</f>
        <v>0</v>
      </c>
      <c r="AC280" s="105">
        <f t="shared" ref="AC280" si="204">AC278*AC279</f>
        <v>0</v>
      </c>
      <c r="AD280" s="105">
        <f t="shared" ref="AD280" si="205">AD278*AD279</f>
        <v>0</v>
      </c>
      <c r="AE280" s="105">
        <f t="shared" ref="AE280" si="206">AE278*AE279</f>
        <v>0</v>
      </c>
      <c r="AF280" s="105">
        <f t="shared" ref="AF280" si="207">AF278*AF279</f>
        <v>0</v>
      </c>
      <c r="AG280" s="105">
        <f t="shared" ref="AG280" si="208">AG278*AG279</f>
        <v>0</v>
      </c>
      <c r="AH280" s="105">
        <f t="shared" ref="AH280" si="209">AH278*AH279</f>
        <v>0</v>
      </c>
      <c r="AI280" s="105">
        <f t="shared" ref="AI280" si="210">AI278*AI279</f>
        <v>0</v>
      </c>
      <c r="AJ280" s="105">
        <f t="shared" ref="AJ280" si="211">AJ278*AJ279</f>
        <v>0</v>
      </c>
      <c r="AK280" s="105">
        <f t="shared" ref="AK280" si="212">AK278*AK279</f>
        <v>0</v>
      </c>
      <c r="AL280" s="105">
        <f t="shared" ref="AL280" si="213">AL278*AL279</f>
        <v>0</v>
      </c>
      <c r="AM280" s="105">
        <f t="shared" ref="AM280" si="214">AM278*AM279</f>
        <v>0</v>
      </c>
      <c r="AN280" s="26"/>
      <c r="AO280" s="26"/>
      <c r="AP280" s="26"/>
      <c r="AQ280" s="26"/>
      <c r="AR280" s="26"/>
      <c r="AS280" s="26"/>
      <c r="AT280" s="26"/>
      <c r="AU280" s="26"/>
      <c r="AV280" s="26"/>
      <c r="AW280" s="26"/>
      <c r="AX280" s="26"/>
      <c r="AY280" s="26"/>
      <c r="AZ280" s="26"/>
    </row>
    <row r="281" spans="1:60" x14ac:dyDescent="0.5">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row>
    <row r="282" spans="1:60" ht="33" customHeight="1" thickBot="1" x14ac:dyDescent="1">
      <c r="A282" s="24"/>
      <c r="B282" s="25"/>
      <c r="C282" s="205" t="s">
        <v>38</v>
      </c>
      <c r="D282" s="200"/>
      <c r="E282" s="200"/>
      <c r="F282" s="200"/>
      <c r="G282" s="200"/>
      <c r="H282" s="200"/>
      <c r="I282" s="200"/>
      <c r="J282" s="200"/>
      <c r="K282" s="200"/>
      <c r="L282" s="200"/>
      <c r="M282" s="200"/>
      <c r="N282" s="200"/>
      <c r="O282" s="200"/>
      <c r="P282" s="200"/>
      <c r="Q282" s="200"/>
      <c r="R282" s="200"/>
      <c r="S282" s="200"/>
      <c r="T282" s="200"/>
      <c r="U282" s="200"/>
      <c r="V282" s="200"/>
      <c r="W282" s="200"/>
      <c r="X282" s="200"/>
      <c r="Y282" s="200"/>
      <c r="Z282" s="200"/>
      <c r="AA282" s="200"/>
      <c r="AB282" s="200"/>
      <c r="AC282" s="200"/>
      <c r="AD282" s="200"/>
      <c r="AE282" s="200"/>
      <c r="AF282" s="200"/>
      <c r="AG282" s="200"/>
      <c r="AH282" s="200"/>
      <c r="AI282" s="200"/>
      <c r="AJ282" s="200"/>
      <c r="AK282" s="200"/>
      <c r="AL282" s="200"/>
      <c r="AM282" s="200"/>
      <c r="AN282" s="200"/>
      <c r="AO282" s="213"/>
      <c r="AP282" s="214"/>
      <c r="AQ282" s="214"/>
      <c r="AR282" s="214"/>
      <c r="AS282" s="214"/>
      <c r="AT282" s="214"/>
      <c r="AU282" s="214"/>
      <c r="AV282" s="214"/>
      <c r="AW282" s="214"/>
      <c r="AX282" s="214"/>
      <c r="AY282" s="214"/>
      <c r="AZ282" s="214"/>
    </row>
    <row r="283" spans="1:60" ht="31.5" x14ac:dyDescent="0.85">
      <c r="A283" s="25"/>
      <c r="B283" s="94"/>
      <c r="C283" s="94"/>
      <c r="D283" s="94"/>
      <c r="E283" s="94"/>
      <c r="F283" s="95"/>
      <c r="G283" s="94"/>
      <c r="H283" s="94"/>
      <c r="I283" s="94"/>
      <c r="J283" s="94"/>
      <c r="K283" s="94"/>
      <c r="L283" s="94"/>
      <c r="M283" s="94"/>
      <c r="N283" s="94"/>
      <c r="O283" s="94"/>
      <c r="P283" s="94"/>
      <c r="Q283" s="94"/>
      <c r="R283" s="94"/>
      <c r="S283" s="94"/>
      <c r="T283" s="94"/>
      <c r="U283" s="94"/>
      <c r="V283" s="94"/>
      <c r="W283" s="94"/>
      <c r="X283" s="94"/>
      <c r="Y283" s="94"/>
      <c r="Z283" s="94"/>
      <c r="AA283" s="94"/>
      <c r="AB283" s="94"/>
      <c r="AC283" s="94"/>
      <c r="AD283" s="94"/>
      <c r="AE283" s="94"/>
      <c r="AF283" s="94"/>
      <c r="AG283" s="94"/>
      <c r="AH283" s="94"/>
      <c r="AI283" s="94"/>
      <c r="AJ283" s="94"/>
      <c r="AK283" s="94"/>
      <c r="AL283" s="94"/>
      <c r="AM283" s="94"/>
      <c r="AN283" s="94"/>
      <c r="AO283" s="94"/>
      <c r="AP283" s="94"/>
      <c r="AQ283" s="94"/>
      <c r="AR283" s="94"/>
      <c r="AS283" s="94"/>
      <c r="AT283" s="94"/>
      <c r="AU283" s="94"/>
      <c r="AV283" s="94"/>
      <c r="AW283" s="94"/>
      <c r="AX283" s="94"/>
      <c r="AY283" s="94"/>
      <c r="AZ283" s="94"/>
      <c r="BA283" s="94"/>
      <c r="BB283" s="94"/>
      <c r="BC283" s="94"/>
      <c r="BD283" s="94"/>
      <c r="BE283" s="94"/>
      <c r="BF283" s="94"/>
      <c r="BG283" s="94"/>
      <c r="BH283" s="94"/>
    </row>
    <row r="284" spans="1:60" x14ac:dyDescent="0.5">
      <c r="A284" s="25"/>
      <c r="B284" s="25"/>
      <c r="C284" s="102" t="s">
        <v>28</v>
      </c>
      <c r="D284" s="25"/>
      <c r="E284" s="25"/>
      <c r="F284" s="25"/>
      <c r="G284" s="25"/>
      <c r="H284" s="104">
        <f>(H324-H302)</f>
        <v>0</v>
      </c>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row>
    <row r="285" spans="1:60" x14ac:dyDescent="0.5">
      <c r="A285" s="25"/>
      <c r="B285" s="25"/>
      <c r="C285" s="102" t="s">
        <v>29</v>
      </c>
      <c r="D285" s="25"/>
      <c r="E285" s="25"/>
      <c r="F285" s="25"/>
      <c r="G285" s="25"/>
      <c r="H285" s="104">
        <f>(H320-H298)*1000000</f>
        <v>0</v>
      </c>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row>
    <row r="286" spans="1:60" x14ac:dyDescent="0.5">
      <c r="A286" s="25"/>
      <c r="B286" s="25"/>
      <c r="C286" s="103" t="s">
        <v>27</v>
      </c>
      <c r="D286" s="103" t="s">
        <v>114</v>
      </c>
      <c r="E286" s="26"/>
      <c r="F286" s="25"/>
      <c r="G286" s="25"/>
      <c r="H286" s="105" t="e">
        <f>H284/H285</f>
        <v>#DIV/0!</v>
      </c>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row>
    <row r="287" spans="1:60" x14ac:dyDescent="0.5">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row>
    <row r="288" spans="1:60" ht="19.5" x14ac:dyDescent="0.55000000000000004">
      <c r="A288" s="25"/>
      <c r="C288" s="97" t="s">
        <v>94</v>
      </c>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row>
    <row r="289" spans="1:60" x14ac:dyDescent="0.5">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row>
    <row r="290" spans="1:60" x14ac:dyDescent="0.5">
      <c r="A290" s="25"/>
      <c r="B290" s="25"/>
      <c r="C290" s="98" t="s">
        <v>21</v>
      </c>
      <c r="D290" s="99"/>
      <c r="E290" s="99"/>
      <c r="F290" s="25"/>
      <c r="G290" s="25"/>
      <c r="H290" s="99"/>
      <c r="I290" s="25"/>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25"/>
      <c r="AG290" s="25"/>
      <c r="AH290" s="25"/>
      <c r="AI290" s="25"/>
      <c r="AJ290" s="25"/>
      <c r="AK290" s="25"/>
      <c r="AL290" s="25"/>
      <c r="AM290" s="25"/>
      <c r="AN290" s="25"/>
      <c r="AO290" s="25"/>
      <c r="AP290" s="25"/>
      <c r="AQ290" s="25"/>
      <c r="AR290" s="25"/>
      <c r="AS290" s="25"/>
      <c r="AT290" s="25"/>
      <c r="AU290" s="25"/>
      <c r="AV290" s="25"/>
      <c r="AW290" s="25"/>
      <c r="AX290" s="25"/>
      <c r="AY290" s="25"/>
      <c r="AZ290" s="25"/>
    </row>
    <row r="291" spans="1:60" x14ac:dyDescent="0.5">
      <c r="A291" s="25"/>
      <c r="B291" s="25"/>
      <c r="C291" s="98" t="s">
        <v>18</v>
      </c>
      <c r="D291" s="98"/>
      <c r="E291" s="98"/>
      <c r="F291" s="25"/>
      <c r="G291" s="25"/>
      <c r="H291" s="99"/>
      <c r="I291" s="25"/>
      <c r="J291" s="107">
        <f t="shared" ref="J291:AM291" si="215">IF(J298&lt;INDEX(tippingpoints,MATCH($B226,tippingpointnames,0),1),0,1)</f>
        <v>1</v>
      </c>
      <c r="K291" s="107">
        <f t="shared" si="215"/>
        <v>1</v>
      </c>
      <c r="L291" s="107">
        <f t="shared" si="215"/>
        <v>1</v>
      </c>
      <c r="M291" s="107">
        <f t="shared" si="215"/>
        <v>1</v>
      </c>
      <c r="N291" s="107">
        <f t="shared" si="215"/>
        <v>1</v>
      </c>
      <c r="O291" s="107">
        <f t="shared" si="215"/>
        <v>1</v>
      </c>
      <c r="P291" s="107">
        <f t="shared" si="215"/>
        <v>1</v>
      </c>
      <c r="Q291" s="107">
        <f t="shared" si="215"/>
        <v>1</v>
      </c>
      <c r="R291" s="107">
        <f t="shared" si="215"/>
        <v>1</v>
      </c>
      <c r="S291" s="107">
        <f t="shared" si="215"/>
        <v>1</v>
      </c>
      <c r="T291" s="107">
        <f t="shared" si="215"/>
        <v>1</v>
      </c>
      <c r="U291" s="107">
        <f t="shared" si="215"/>
        <v>1</v>
      </c>
      <c r="V291" s="107">
        <f t="shared" si="215"/>
        <v>1</v>
      </c>
      <c r="W291" s="107">
        <f t="shared" si="215"/>
        <v>1</v>
      </c>
      <c r="X291" s="107">
        <f t="shared" si="215"/>
        <v>1</v>
      </c>
      <c r="Y291" s="107">
        <f t="shared" si="215"/>
        <v>1</v>
      </c>
      <c r="Z291" s="107">
        <f t="shared" si="215"/>
        <v>1</v>
      </c>
      <c r="AA291" s="107">
        <f t="shared" si="215"/>
        <v>1</v>
      </c>
      <c r="AB291" s="107">
        <f t="shared" si="215"/>
        <v>1</v>
      </c>
      <c r="AC291" s="107">
        <f t="shared" si="215"/>
        <v>1</v>
      </c>
      <c r="AD291" s="107">
        <f t="shared" si="215"/>
        <v>1</v>
      </c>
      <c r="AE291" s="107">
        <f t="shared" si="215"/>
        <v>1</v>
      </c>
      <c r="AF291" s="107">
        <f t="shared" si="215"/>
        <v>1</v>
      </c>
      <c r="AG291" s="107">
        <f t="shared" si="215"/>
        <v>1</v>
      </c>
      <c r="AH291" s="107">
        <f t="shared" si="215"/>
        <v>1</v>
      </c>
      <c r="AI291" s="107">
        <f t="shared" si="215"/>
        <v>1</v>
      </c>
      <c r="AJ291" s="107">
        <f t="shared" si="215"/>
        <v>1</v>
      </c>
      <c r="AK291" s="107">
        <f t="shared" si="215"/>
        <v>1</v>
      </c>
      <c r="AL291" s="107">
        <f t="shared" si="215"/>
        <v>1</v>
      </c>
      <c r="AM291" s="107">
        <f t="shared" si="215"/>
        <v>1</v>
      </c>
      <c r="AN291" s="25"/>
      <c r="AO291" s="25"/>
      <c r="AP291" s="25"/>
      <c r="AQ291" s="25"/>
      <c r="AR291" s="25"/>
      <c r="AS291" s="25"/>
      <c r="AT291" s="25"/>
      <c r="AU291" s="25"/>
      <c r="AV291" s="25"/>
      <c r="AW291" s="25"/>
      <c r="AX291" s="25"/>
      <c r="AY291" s="25"/>
      <c r="AZ291" s="25"/>
    </row>
    <row r="292" spans="1:60" x14ac:dyDescent="0.5">
      <c r="A292" s="25"/>
      <c r="B292" s="25"/>
      <c r="C292" s="98" t="s">
        <v>19</v>
      </c>
      <c r="D292" s="98"/>
      <c r="E292" s="98"/>
      <c r="F292" s="25"/>
      <c r="G292" s="25"/>
      <c r="H292" s="99"/>
      <c r="I292" s="25"/>
      <c r="J292" s="109">
        <f>IF(SUM($J291:J291)=0,0,1)</f>
        <v>1</v>
      </c>
      <c r="K292" s="109">
        <f>IF(SUM($J291:K291)=0,0,1)</f>
        <v>1</v>
      </c>
      <c r="L292" s="109">
        <f>IF(SUM($J291:L291)=0,0,1)</f>
        <v>1</v>
      </c>
      <c r="M292" s="109">
        <f>IF(SUM($J291:M291)=0,0,1)</f>
        <v>1</v>
      </c>
      <c r="N292" s="109">
        <f>IF(SUM($J291:N291)=0,0,1)</f>
        <v>1</v>
      </c>
      <c r="O292" s="109">
        <f>IF(SUM($J291:O291)=0,0,1)</f>
        <v>1</v>
      </c>
      <c r="P292" s="109">
        <f>IF(SUM($J291:P291)=0,0,1)</f>
        <v>1</v>
      </c>
      <c r="Q292" s="109">
        <f>IF(SUM($J291:Q291)=0,0,1)</f>
        <v>1</v>
      </c>
      <c r="R292" s="109">
        <f>IF(SUM($J291:R291)=0,0,1)</f>
        <v>1</v>
      </c>
      <c r="S292" s="109">
        <f>IF(SUM($J291:S291)=0,0,1)</f>
        <v>1</v>
      </c>
      <c r="T292" s="109">
        <f>IF(SUM($J291:T291)=0,0,1)</f>
        <v>1</v>
      </c>
      <c r="U292" s="109">
        <f>IF(SUM($J291:U291)=0,0,1)</f>
        <v>1</v>
      </c>
      <c r="V292" s="109">
        <f>IF(SUM($J291:V291)=0,0,1)</f>
        <v>1</v>
      </c>
      <c r="W292" s="109">
        <f>IF(SUM($J291:W291)=0,0,1)</f>
        <v>1</v>
      </c>
      <c r="X292" s="109">
        <f>IF(SUM($J291:X291)=0,0,1)</f>
        <v>1</v>
      </c>
      <c r="Y292" s="109">
        <f>IF(SUM($J291:Y291)=0,0,1)</f>
        <v>1</v>
      </c>
      <c r="Z292" s="109">
        <f>IF(SUM($J291:Z291)=0,0,1)</f>
        <v>1</v>
      </c>
      <c r="AA292" s="109">
        <f>IF(SUM($J291:AA291)=0,0,1)</f>
        <v>1</v>
      </c>
      <c r="AB292" s="109">
        <f>IF(SUM($J291:AB291)=0,0,1)</f>
        <v>1</v>
      </c>
      <c r="AC292" s="109">
        <f>IF(SUM($J291:AC291)=0,0,1)</f>
        <v>1</v>
      </c>
      <c r="AD292" s="109">
        <f>IF(SUM($J291:AD291)=0,0,1)</f>
        <v>1</v>
      </c>
      <c r="AE292" s="109">
        <f>IF(SUM($J291:AE291)=0,0,1)</f>
        <v>1</v>
      </c>
      <c r="AF292" s="109">
        <f>IF(SUM($J291:AF291)=0,0,1)</f>
        <v>1</v>
      </c>
      <c r="AG292" s="109">
        <f>IF(SUM($J291:AG291)=0,0,1)</f>
        <v>1</v>
      </c>
      <c r="AH292" s="109">
        <f>IF(SUM($J291:AH291)=0,0,1)</f>
        <v>1</v>
      </c>
      <c r="AI292" s="109">
        <f>IF(SUM($J291:AI291)=0,0,1)</f>
        <v>1</v>
      </c>
      <c r="AJ292" s="109">
        <f>IF(SUM($J291:AJ291)=0,0,1)</f>
        <v>1</v>
      </c>
      <c r="AK292" s="109">
        <f>IF(SUM($J291:AK291)=0,0,1)</f>
        <v>1</v>
      </c>
      <c r="AL292" s="109">
        <f>IF(SUM($J291:AL291)=0,0,1)</f>
        <v>1</v>
      </c>
      <c r="AM292" s="109">
        <f>IF(SUM($J291:AM291)=0,0,1)</f>
        <v>1</v>
      </c>
      <c r="AN292" s="25"/>
      <c r="AO292" s="25"/>
      <c r="AP292" s="25"/>
      <c r="AQ292" s="25"/>
      <c r="AR292" s="25"/>
      <c r="AS292" s="25"/>
      <c r="AT292" s="25"/>
      <c r="AU292" s="25"/>
      <c r="AV292" s="25"/>
      <c r="AW292" s="25"/>
      <c r="AX292" s="25"/>
      <c r="AY292" s="25"/>
      <c r="AZ292" s="25"/>
    </row>
    <row r="293" spans="1:60" x14ac:dyDescent="0.5">
      <c r="A293" s="25"/>
      <c r="B293" s="25"/>
      <c r="C293" s="98" t="s">
        <v>20</v>
      </c>
      <c r="D293" s="98"/>
      <c r="E293" s="98"/>
      <c r="F293" s="25"/>
      <c r="G293" s="25"/>
      <c r="H293" s="99"/>
      <c r="I293" s="25"/>
      <c r="J293" s="109">
        <f>IF($AM292=0,0,IF(AND(J292=0,J291=0),K293-1,0))</f>
        <v>0</v>
      </c>
      <c r="K293" s="109">
        <f t="shared" ref="K293" si="216">IF($AM292=0,0,IF(AND(K292=0,K291=0),L293-1,0))</f>
        <v>0</v>
      </c>
      <c r="L293" s="109">
        <f t="shared" ref="L293" si="217">IF($AM292=0,0,IF(AND(L292=0,L291=0),M293-1,0))</f>
        <v>0</v>
      </c>
      <c r="M293" s="109">
        <f t="shared" ref="M293" si="218">IF($AM292=0,0,IF(AND(M292=0,M291=0),N293-1,0))</f>
        <v>0</v>
      </c>
      <c r="N293" s="109">
        <f t="shared" ref="N293" si="219">IF($AM292=0,0,IF(AND(N292=0,N291=0),O293-1,0))</f>
        <v>0</v>
      </c>
      <c r="O293" s="109">
        <f t="shared" ref="O293" si="220">IF($AM292=0,0,IF(AND(O292=0,O291=0),P293-1,0))</f>
        <v>0</v>
      </c>
      <c r="P293" s="109">
        <f t="shared" ref="P293" si="221">IF($AM292=0,0,IF(AND(P292=0,P291=0),Q293-1,0))</f>
        <v>0</v>
      </c>
      <c r="Q293" s="109">
        <f t="shared" ref="Q293" si="222">IF($AM292=0,0,IF(AND(Q292=0,Q291=0),R293-1,0))</f>
        <v>0</v>
      </c>
      <c r="R293" s="109">
        <f t="shared" ref="R293" si="223">IF($AM292=0,0,IF(AND(R292=0,R291=0),S293-1,0))</f>
        <v>0</v>
      </c>
      <c r="S293" s="109">
        <f t="shared" ref="S293" si="224">IF($AM292=0,0,IF(AND(S292=0,S291=0),T293-1,0))</f>
        <v>0</v>
      </c>
      <c r="T293" s="109">
        <f t="shared" ref="T293" si="225">IF($AM292=0,0,IF(AND(T292=0,T291=0),U293-1,0))</f>
        <v>0</v>
      </c>
      <c r="U293" s="109">
        <f t="shared" ref="U293" si="226">IF($AM292=0,0,IF(AND(U292=0,U291=0),V293-1,0))</f>
        <v>0</v>
      </c>
      <c r="V293" s="109">
        <f t="shared" ref="V293" si="227">IF($AM292=0,0,IF(AND(V292=0,V291=0),W293-1,0))</f>
        <v>0</v>
      </c>
      <c r="W293" s="109">
        <f t="shared" ref="W293" si="228">IF($AM292=0,0,IF(AND(W292=0,W291=0),X293-1,0))</f>
        <v>0</v>
      </c>
      <c r="X293" s="109">
        <f t="shared" ref="X293" si="229">IF($AM292=0,0,IF(AND(X292=0,X291=0),Y293-1,0))</f>
        <v>0</v>
      </c>
      <c r="Y293" s="109">
        <f t="shared" ref="Y293" si="230">IF($AM292=0,0,IF(AND(Y292=0,Y291=0),Z293-1,0))</f>
        <v>0</v>
      </c>
      <c r="Z293" s="109">
        <f t="shared" ref="Z293" si="231">IF($AM292=0,0,IF(AND(Z292=0,Z291=0),AA293-1,0))</f>
        <v>0</v>
      </c>
      <c r="AA293" s="109">
        <f t="shared" ref="AA293" si="232">IF($AM292=0,0,IF(AND(AA292=0,AA291=0),AB293-1,0))</f>
        <v>0</v>
      </c>
      <c r="AB293" s="109">
        <f t="shared" ref="AB293" si="233">IF($AM292=0,0,IF(AND(AB292=0,AB291=0),AC293-1,0))</f>
        <v>0</v>
      </c>
      <c r="AC293" s="109">
        <f t="shared" ref="AC293" si="234">IF($AM292=0,0,IF(AND(AC292=0,AC291=0),AD293-1,0))</f>
        <v>0</v>
      </c>
      <c r="AD293" s="109">
        <f t="shared" ref="AD293" si="235">IF($AM292=0,0,IF(AND(AD292=0,AD291=0),AE293-1,0))</f>
        <v>0</v>
      </c>
      <c r="AE293" s="109">
        <f t="shared" ref="AE293" si="236">IF($AM292=0,0,IF(AND(AE292=0,AE291=0),AF293-1,0))</f>
        <v>0</v>
      </c>
      <c r="AF293" s="109">
        <f t="shared" ref="AF293" si="237">IF($AM292=0,0,IF(AND(AF292=0,AF291=0),AG293-1,0))</f>
        <v>0</v>
      </c>
      <c r="AG293" s="109">
        <f t="shared" ref="AG293" si="238">IF($AM292=0,0,IF(AND(AG292=0,AG291=0),AH293-1,0))</f>
        <v>0</v>
      </c>
      <c r="AH293" s="109">
        <f t="shared" ref="AH293" si="239">IF($AM292=0,0,IF(AND(AH292=0,AH291=0),AI293-1,0))</f>
        <v>0</v>
      </c>
      <c r="AI293" s="109">
        <f t="shared" ref="AI293" si="240">IF($AM292=0,0,IF(AND(AI292=0,AI291=0),AJ293-1,0))</f>
        <v>0</v>
      </c>
      <c r="AJ293" s="109">
        <f t="shared" ref="AJ293" si="241">IF($AM292=0,0,IF(AND(AJ292=0,AJ291=0),AK293-1,0))</f>
        <v>0</v>
      </c>
      <c r="AK293" s="109">
        <f t="shared" ref="AK293" si="242">IF($AM292=0,0,IF(AND(AK292=0,AK291=0),AL293-1,0))</f>
        <v>0</v>
      </c>
      <c r="AL293" s="109">
        <f t="shared" ref="AL293" si="243">IF($AM292=0,0,IF(AND(AL292=0,AL291=0),AM293-1,0))</f>
        <v>0</v>
      </c>
      <c r="AM293" s="109">
        <f t="shared" ref="AM293" si="244">IF($AM292=0,0,IF(AND(AM292=0,AM291=0),AN293-1,0))</f>
        <v>0</v>
      </c>
      <c r="AN293" s="25"/>
      <c r="AO293" s="25"/>
      <c r="AP293" s="25"/>
      <c r="AQ293" s="25"/>
      <c r="AR293" s="25"/>
      <c r="AS293" s="25"/>
      <c r="AT293" s="25"/>
      <c r="AU293" s="25"/>
      <c r="AV293" s="25"/>
      <c r="AW293" s="25"/>
      <c r="AX293" s="25"/>
      <c r="AY293" s="25"/>
      <c r="AZ293" s="25"/>
    </row>
    <row r="294" spans="1:60" x14ac:dyDescent="0.5">
      <c r="A294" s="25"/>
      <c r="B294" s="25"/>
      <c r="C294" s="98" t="s">
        <v>118</v>
      </c>
      <c r="D294" s="98"/>
      <c r="E294" s="98"/>
      <c r="F294" s="108"/>
      <c r="G294" s="98"/>
      <c r="H294" s="99"/>
      <c r="I294" s="99"/>
      <c r="J294" s="109">
        <f t="shared" ref="J294:AM294" si="245">IF(ABS(J293)=INDEX(leadtimes,MATCH($B226,assetnames,0),1),1,0)</f>
        <v>1</v>
      </c>
      <c r="K294" s="109">
        <f t="shared" si="245"/>
        <v>1</v>
      </c>
      <c r="L294" s="109">
        <f t="shared" si="245"/>
        <v>1</v>
      </c>
      <c r="M294" s="109">
        <f t="shared" si="245"/>
        <v>1</v>
      </c>
      <c r="N294" s="109">
        <f t="shared" si="245"/>
        <v>1</v>
      </c>
      <c r="O294" s="109">
        <f t="shared" si="245"/>
        <v>1</v>
      </c>
      <c r="P294" s="109">
        <f t="shared" si="245"/>
        <v>1</v>
      </c>
      <c r="Q294" s="109">
        <f t="shared" si="245"/>
        <v>1</v>
      </c>
      <c r="R294" s="109">
        <f t="shared" si="245"/>
        <v>1</v>
      </c>
      <c r="S294" s="109">
        <f t="shared" si="245"/>
        <v>1</v>
      </c>
      <c r="T294" s="109">
        <f t="shared" si="245"/>
        <v>1</v>
      </c>
      <c r="U294" s="109">
        <f t="shared" si="245"/>
        <v>1</v>
      </c>
      <c r="V294" s="109">
        <f t="shared" si="245"/>
        <v>1</v>
      </c>
      <c r="W294" s="109">
        <f t="shared" si="245"/>
        <v>1</v>
      </c>
      <c r="X294" s="109">
        <f t="shared" si="245"/>
        <v>1</v>
      </c>
      <c r="Y294" s="109">
        <f t="shared" si="245"/>
        <v>1</v>
      </c>
      <c r="Z294" s="109">
        <f t="shared" si="245"/>
        <v>1</v>
      </c>
      <c r="AA294" s="109">
        <f t="shared" si="245"/>
        <v>1</v>
      </c>
      <c r="AB294" s="109">
        <f t="shared" si="245"/>
        <v>1</v>
      </c>
      <c r="AC294" s="109">
        <f t="shared" si="245"/>
        <v>1</v>
      </c>
      <c r="AD294" s="109">
        <f t="shared" si="245"/>
        <v>1</v>
      </c>
      <c r="AE294" s="109">
        <f t="shared" si="245"/>
        <v>1</v>
      </c>
      <c r="AF294" s="109">
        <f t="shared" si="245"/>
        <v>1</v>
      </c>
      <c r="AG294" s="109">
        <f t="shared" si="245"/>
        <v>1</v>
      </c>
      <c r="AH294" s="109">
        <f t="shared" si="245"/>
        <v>1</v>
      </c>
      <c r="AI294" s="109">
        <f t="shared" si="245"/>
        <v>1</v>
      </c>
      <c r="AJ294" s="109">
        <f t="shared" si="245"/>
        <v>1</v>
      </c>
      <c r="AK294" s="109">
        <f t="shared" si="245"/>
        <v>1</v>
      </c>
      <c r="AL294" s="109">
        <f t="shared" si="245"/>
        <v>1</v>
      </c>
      <c r="AM294" s="109">
        <f t="shared" si="245"/>
        <v>1</v>
      </c>
      <c r="AN294" s="109"/>
      <c r="AO294" s="109"/>
      <c r="AP294" s="109"/>
      <c r="AQ294" s="109"/>
      <c r="AR294" s="109"/>
      <c r="AS294" s="109"/>
      <c r="AT294" s="109"/>
      <c r="AU294" s="109"/>
      <c r="AV294" s="109"/>
      <c r="AW294" s="109"/>
      <c r="AX294" s="109"/>
      <c r="AY294" s="109"/>
      <c r="AZ294" s="109"/>
      <c r="BA294" s="109"/>
      <c r="BB294" s="109"/>
      <c r="BC294" s="109"/>
      <c r="BD294" s="109"/>
      <c r="BE294" s="100"/>
      <c r="BF294" s="100"/>
      <c r="BG294" s="100"/>
      <c r="BH294" s="100"/>
    </row>
    <row r="295" spans="1:60" x14ac:dyDescent="0.5">
      <c r="A295" s="25"/>
      <c r="B295" s="25"/>
      <c r="C295" s="98" t="s">
        <v>119</v>
      </c>
      <c r="D295" s="98"/>
      <c r="E295" s="98"/>
      <c r="F295" s="108"/>
      <c r="G295" s="98"/>
      <c r="H295" s="99"/>
      <c r="I295" s="99"/>
      <c r="J295" s="109">
        <f>IF(SUM($J294:J294)=1,1,0)+I295</f>
        <v>1</v>
      </c>
      <c r="K295" s="109">
        <f>IF(SUM($J294:K294)=1,1,0)+J295</f>
        <v>1</v>
      </c>
      <c r="L295" s="109">
        <f>IF(SUM($J294:L294)=1,1,0)+K295</f>
        <v>1</v>
      </c>
      <c r="M295" s="109">
        <f>IF(SUM($J294:M294)=1,1,0)+L295</f>
        <v>1</v>
      </c>
      <c r="N295" s="109">
        <f>IF(SUM($J294:N294)=1,1,0)+M295</f>
        <v>1</v>
      </c>
      <c r="O295" s="109">
        <f>IF(SUM($J294:O294)=1,1,0)+N295</f>
        <v>1</v>
      </c>
      <c r="P295" s="109">
        <f>IF(SUM($J294:P294)=1,1,0)+O295</f>
        <v>1</v>
      </c>
      <c r="Q295" s="109">
        <f>IF(SUM($J294:Q294)=1,1,0)+P295</f>
        <v>1</v>
      </c>
      <c r="R295" s="109">
        <f>IF(SUM($J294:R294)=1,1,0)+Q295</f>
        <v>1</v>
      </c>
      <c r="S295" s="109">
        <f>IF(SUM($J294:S294)=1,1,0)+R295</f>
        <v>1</v>
      </c>
      <c r="T295" s="109">
        <f>IF(SUM($J294:T294)=1,1,0)+S295</f>
        <v>1</v>
      </c>
      <c r="U295" s="109">
        <f>IF(SUM($J294:U294)=1,1,0)+T295</f>
        <v>1</v>
      </c>
      <c r="V295" s="109">
        <f>IF(SUM($J294:V294)=1,1,0)+U295</f>
        <v>1</v>
      </c>
      <c r="W295" s="109">
        <f>IF(SUM($J294:W294)=1,1,0)+V295</f>
        <v>1</v>
      </c>
      <c r="X295" s="109">
        <f>IF(SUM($J294:X294)=1,1,0)+W295</f>
        <v>1</v>
      </c>
      <c r="Y295" s="109">
        <f>IF(SUM($J294:Y294)=1,1,0)+X295</f>
        <v>1</v>
      </c>
      <c r="Z295" s="109">
        <f>IF(SUM($J294:Z294)=1,1,0)+Y295</f>
        <v>1</v>
      </c>
      <c r="AA295" s="109">
        <f>IF(SUM($J294:AA294)=1,1,0)+Z295</f>
        <v>1</v>
      </c>
      <c r="AB295" s="109">
        <f>IF(SUM($J294:AB294)=1,1,0)+AA295</f>
        <v>1</v>
      </c>
      <c r="AC295" s="109">
        <f>IF(SUM($J294:AC294)=1,1,0)+AB295</f>
        <v>1</v>
      </c>
      <c r="AD295" s="109">
        <f>IF(SUM($J294:AD294)=1,1,0)+AC295</f>
        <v>1</v>
      </c>
      <c r="AE295" s="109">
        <f>IF(SUM($J294:AE294)=1,1,0)+AD295</f>
        <v>1</v>
      </c>
      <c r="AF295" s="109">
        <f>IF(SUM($J294:AF294)=1,1,0)+AE295</f>
        <v>1</v>
      </c>
      <c r="AG295" s="109">
        <f>IF(SUM($J294:AG294)=1,1,0)+AF295</f>
        <v>1</v>
      </c>
      <c r="AH295" s="109">
        <f>IF(SUM($J294:AH294)=1,1,0)+AG295</f>
        <v>1</v>
      </c>
      <c r="AI295" s="109">
        <f>IF(SUM($J294:AI294)=1,1,0)+AH295</f>
        <v>1</v>
      </c>
      <c r="AJ295" s="109">
        <f>IF(SUM($J294:AJ294)=1,1,0)+AI295</f>
        <v>1</v>
      </c>
      <c r="AK295" s="109">
        <f>IF(SUM($J294:AK294)=1,1,0)+AJ295</f>
        <v>1</v>
      </c>
      <c r="AL295" s="109">
        <f>IF(SUM($J294:AL294)=1,1,0)+AK295</f>
        <v>1</v>
      </c>
      <c r="AM295" s="109">
        <f>IF(SUM($J294:AM294)=1,1,0)+AL295</f>
        <v>1</v>
      </c>
      <c r="AN295" s="109"/>
      <c r="AO295" s="109"/>
      <c r="AP295" s="109"/>
      <c r="AQ295" s="109"/>
      <c r="AR295" s="109"/>
      <c r="AS295" s="109"/>
      <c r="AT295" s="109"/>
      <c r="AU295" s="109"/>
      <c r="AV295" s="109"/>
      <c r="AW295" s="109"/>
      <c r="AX295" s="109"/>
      <c r="AY295" s="109"/>
      <c r="AZ295" s="109"/>
      <c r="BA295" s="109"/>
      <c r="BB295" s="109"/>
      <c r="BC295" s="109"/>
      <c r="BD295" s="109"/>
      <c r="BE295" s="100"/>
      <c r="BF295" s="100"/>
      <c r="BG295" s="100"/>
      <c r="BH295" s="100"/>
    </row>
    <row r="296" spans="1:60" ht="15.65" customHeight="1" x14ac:dyDescent="0.5">
      <c r="A296" s="25"/>
      <c r="B296" s="25"/>
      <c r="C296" s="98" t="s">
        <v>117</v>
      </c>
      <c r="D296" s="99"/>
      <c r="E296" s="99"/>
      <c r="F296" s="106"/>
      <c r="G296" s="99"/>
      <c r="H296" s="99"/>
      <c r="I296" s="99"/>
      <c r="J296" s="107">
        <f>SUM($J291:J291)</f>
        <v>1</v>
      </c>
      <c r="K296" s="107">
        <f>SUM($J291:K291)</f>
        <v>2</v>
      </c>
      <c r="L296" s="107">
        <f>SUM($J291:L291)</f>
        <v>3</v>
      </c>
      <c r="M296" s="107">
        <f>SUM($J291:M291)</f>
        <v>4</v>
      </c>
      <c r="N296" s="107">
        <f>SUM($J291:N291)</f>
        <v>5</v>
      </c>
      <c r="O296" s="107">
        <f>SUM($J291:O291)</f>
        <v>6</v>
      </c>
      <c r="P296" s="107">
        <f>SUM($J291:P291)</f>
        <v>7</v>
      </c>
      <c r="Q296" s="107">
        <f>SUM($J291:Q291)</f>
        <v>8</v>
      </c>
      <c r="R296" s="107">
        <f>SUM($J291:R291)</f>
        <v>9</v>
      </c>
      <c r="S296" s="107">
        <f>SUM($J291:S291)</f>
        <v>10</v>
      </c>
      <c r="T296" s="107">
        <f>SUM($J291:T291)</f>
        <v>11</v>
      </c>
      <c r="U296" s="107">
        <f>SUM($J291:U291)</f>
        <v>12</v>
      </c>
      <c r="V296" s="107">
        <f>SUM($J291:V291)</f>
        <v>13</v>
      </c>
      <c r="W296" s="107">
        <f>SUM($J291:W291)</f>
        <v>14</v>
      </c>
      <c r="X296" s="107">
        <f>SUM($J291:X291)</f>
        <v>15</v>
      </c>
      <c r="Y296" s="107">
        <f>SUM($J291:Y291)</f>
        <v>16</v>
      </c>
      <c r="Z296" s="107">
        <f>SUM($J291:Z291)</f>
        <v>17</v>
      </c>
      <c r="AA296" s="107">
        <f>SUM($J291:AA291)</f>
        <v>18</v>
      </c>
      <c r="AB296" s="107">
        <f>SUM($J291:AB291)</f>
        <v>19</v>
      </c>
      <c r="AC296" s="107">
        <f>SUM($J291:AC291)</f>
        <v>20</v>
      </c>
      <c r="AD296" s="107">
        <f>SUM($J291:AD291)</f>
        <v>21</v>
      </c>
      <c r="AE296" s="107">
        <f>SUM($J291:AE291)</f>
        <v>22</v>
      </c>
      <c r="AF296" s="107">
        <f>SUM($J291:AF291)</f>
        <v>23</v>
      </c>
      <c r="AG296" s="107">
        <f>SUM($J291:AG291)</f>
        <v>24</v>
      </c>
      <c r="AH296" s="107">
        <f>SUM($J291:AH291)</f>
        <v>25</v>
      </c>
      <c r="AI296" s="107">
        <f>SUM($J291:AI291)</f>
        <v>26</v>
      </c>
      <c r="AJ296" s="107">
        <f>SUM($J291:AJ291)</f>
        <v>27</v>
      </c>
      <c r="AK296" s="107">
        <f>SUM($J291:AK291)</f>
        <v>28</v>
      </c>
      <c r="AL296" s="107">
        <f>SUM($J291:AL291)</f>
        <v>29</v>
      </c>
      <c r="AM296" s="107">
        <f>SUM($J291:AM291)</f>
        <v>30</v>
      </c>
      <c r="AN296" s="107"/>
      <c r="AO296" s="107"/>
      <c r="AP296" s="107"/>
      <c r="AQ296" s="107"/>
      <c r="AR296" s="107"/>
      <c r="AS296" s="107"/>
      <c r="AT296" s="107"/>
      <c r="AU296" s="107"/>
      <c r="AV296" s="107"/>
      <c r="AW296" s="107"/>
      <c r="AX296" s="107"/>
      <c r="AY296" s="107"/>
      <c r="AZ296" s="107"/>
      <c r="BA296" s="107"/>
      <c r="BB296" s="107"/>
      <c r="BC296" s="107"/>
      <c r="BD296" s="107"/>
      <c r="BE296" s="107"/>
      <c r="BF296" s="107"/>
      <c r="BG296" s="107"/>
      <c r="BH296" s="107"/>
    </row>
    <row r="297" spans="1:60" x14ac:dyDescent="0.5">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row>
    <row r="298" spans="1:60" x14ac:dyDescent="0.5">
      <c r="A298" s="25"/>
      <c r="B298" s="25"/>
      <c r="C298" s="25" t="s">
        <v>94</v>
      </c>
      <c r="D298" s="25" t="s">
        <v>1</v>
      </c>
      <c r="E298" s="25"/>
      <c r="G298" s="25"/>
      <c r="H298" s="105">
        <f>J298+NPV(discountrate,K298:AK298)</f>
        <v>0</v>
      </c>
      <c r="I298" s="25"/>
      <c r="J298" s="105">
        <f t="shared" ref="J298:AM298" si="246">INDEX(dischargevolumes,MATCH($C298,volumesnames,0),MATCH(J$7,years,0))</f>
        <v>0</v>
      </c>
      <c r="K298" s="105">
        <f t="shared" si="246"/>
        <v>0</v>
      </c>
      <c r="L298" s="105">
        <f t="shared" si="246"/>
        <v>0</v>
      </c>
      <c r="M298" s="105">
        <f t="shared" si="246"/>
        <v>0</v>
      </c>
      <c r="N298" s="105">
        <f t="shared" si="246"/>
        <v>0</v>
      </c>
      <c r="O298" s="105">
        <f t="shared" si="246"/>
        <v>0</v>
      </c>
      <c r="P298" s="105">
        <f t="shared" si="246"/>
        <v>0</v>
      </c>
      <c r="Q298" s="105">
        <f t="shared" si="246"/>
        <v>0</v>
      </c>
      <c r="R298" s="105">
        <f t="shared" si="246"/>
        <v>0</v>
      </c>
      <c r="S298" s="105">
        <f t="shared" si="246"/>
        <v>0</v>
      </c>
      <c r="T298" s="105">
        <f t="shared" si="246"/>
        <v>0</v>
      </c>
      <c r="U298" s="105">
        <f t="shared" si="246"/>
        <v>0</v>
      </c>
      <c r="V298" s="105">
        <f t="shared" si="246"/>
        <v>0</v>
      </c>
      <c r="W298" s="105">
        <f t="shared" si="246"/>
        <v>0</v>
      </c>
      <c r="X298" s="105">
        <f t="shared" si="246"/>
        <v>0</v>
      </c>
      <c r="Y298" s="105">
        <f t="shared" si="246"/>
        <v>0</v>
      </c>
      <c r="Z298" s="105">
        <f t="shared" si="246"/>
        <v>0</v>
      </c>
      <c r="AA298" s="105">
        <f t="shared" si="246"/>
        <v>0</v>
      </c>
      <c r="AB298" s="105">
        <f t="shared" si="246"/>
        <v>0</v>
      </c>
      <c r="AC298" s="105">
        <f t="shared" si="246"/>
        <v>0</v>
      </c>
      <c r="AD298" s="105">
        <f t="shared" si="246"/>
        <v>0</v>
      </c>
      <c r="AE298" s="105">
        <f t="shared" si="246"/>
        <v>0</v>
      </c>
      <c r="AF298" s="105">
        <f t="shared" si="246"/>
        <v>0</v>
      </c>
      <c r="AG298" s="105">
        <f t="shared" si="246"/>
        <v>0</v>
      </c>
      <c r="AH298" s="105">
        <f t="shared" si="246"/>
        <v>0</v>
      </c>
      <c r="AI298" s="105">
        <f t="shared" si="246"/>
        <v>0</v>
      </c>
      <c r="AJ298" s="105">
        <f t="shared" si="246"/>
        <v>0</v>
      </c>
      <c r="AK298" s="105">
        <f t="shared" si="246"/>
        <v>0</v>
      </c>
      <c r="AL298" s="105">
        <f t="shared" si="246"/>
        <v>0</v>
      </c>
      <c r="AM298" s="105">
        <f t="shared" si="246"/>
        <v>0</v>
      </c>
      <c r="AN298" s="25"/>
      <c r="AO298" s="25"/>
      <c r="AP298" s="25"/>
      <c r="AQ298" s="25"/>
      <c r="AR298" s="25"/>
      <c r="AS298" s="25"/>
      <c r="AT298" s="25"/>
      <c r="AU298" s="25"/>
      <c r="AV298" s="25"/>
      <c r="AW298" s="25"/>
      <c r="AX298" s="25"/>
      <c r="AY298" s="25"/>
      <c r="AZ298" s="25"/>
    </row>
    <row r="299" spans="1:60" x14ac:dyDescent="0.5">
      <c r="A299" s="25"/>
      <c r="B299" s="25"/>
      <c r="C299" s="25" t="s">
        <v>147</v>
      </c>
      <c r="D299" s="25" t="s">
        <v>150</v>
      </c>
      <c r="E299" s="25"/>
      <c r="F299" s="106"/>
      <c r="G299" s="25"/>
      <c r="H299" s="25"/>
      <c r="I299" s="25"/>
      <c r="J299" s="105">
        <f>J308</f>
        <v>0</v>
      </c>
      <c r="K299" s="105">
        <f t="shared" ref="K299:AM299" si="247">K308</f>
        <v>0</v>
      </c>
      <c r="L299" s="105">
        <f t="shared" si="247"/>
        <v>0</v>
      </c>
      <c r="M299" s="105">
        <f t="shared" si="247"/>
        <v>0</v>
      </c>
      <c r="N299" s="105">
        <f t="shared" si="247"/>
        <v>0</v>
      </c>
      <c r="O299" s="105">
        <f t="shared" si="247"/>
        <v>0</v>
      </c>
      <c r="P299" s="105">
        <f t="shared" si="247"/>
        <v>0</v>
      </c>
      <c r="Q299" s="105">
        <f t="shared" si="247"/>
        <v>0</v>
      </c>
      <c r="R299" s="105">
        <f t="shared" si="247"/>
        <v>0</v>
      </c>
      <c r="S299" s="105">
        <f t="shared" si="247"/>
        <v>0</v>
      </c>
      <c r="T299" s="105">
        <f t="shared" si="247"/>
        <v>0</v>
      </c>
      <c r="U299" s="105">
        <f t="shared" si="247"/>
        <v>0</v>
      </c>
      <c r="V299" s="105">
        <f t="shared" si="247"/>
        <v>0</v>
      </c>
      <c r="W299" s="105">
        <f t="shared" si="247"/>
        <v>0</v>
      </c>
      <c r="X299" s="105">
        <f t="shared" si="247"/>
        <v>0</v>
      </c>
      <c r="Y299" s="105">
        <f t="shared" si="247"/>
        <v>0</v>
      </c>
      <c r="Z299" s="105">
        <f t="shared" si="247"/>
        <v>0</v>
      </c>
      <c r="AA299" s="105">
        <f t="shared" si="247"/>
        <v>0</v>
      </c>
      <c r="AB299" s="105">
        <f t="shared" si="247"/>
        <v>0</v>
      </c>
      <c r="AC299" s="105">
        <f t="shared" si="247"/>
        <v>0</v>
      </c>
      <c r="AD299" s="105">
        <f t="shared" si="247"/>
        <v>0</v>
      </c>
      <c r="AE299" s="105">
        <f t="shared" si="247"/>
        <v>0</v>
      </c>
      <c r="AF299" s="105">
        <f t="shared" si="247"/>
        <v>0</v>
      </c>
      <c r="AG299" s="105">
        <f t="shared" si="247"/>
        <v>0</v>
      </c>
      <c r="AH299" s="105">
        <f t="shared" si="247"/>
        <v>0</v>
      </c>
      <c r="AI299" s="105">
        <f t="shared" si="247"/>
        <v>0</v>
      </c>
      <c r="AJ299" s="105">
        <f t="shared" si="247"/>
        <v>0</v>
      </c>
      <c r="AK299" s="105">
        <f t="shared" si="247"/>
        <v>0</v>
      </c>
      <c r="AL299" s="105">
        <f t="shared" si="247"/>
        <v>0</v>
      </c>
      <c r="AM299" s="105">
        <f t="shared" si="247"/>
        <v>0</v>
      </c>
      <c r="AN299" s="25"/>
      <c r="AO299" s="25"/>
      <c r="AP299" s="25"/>
      <c r="AQ299" s="25"/>
      <c r="AR299" s="25"/>
      <c r="AS299" s="25"/>
      <c r="AT299" s="25"/>
      <c r="AU299" s="25"/>
      <c r="AV299" s="25"/>
      <c r="AW299" s="25"/>
      <c r="AX299" s="25"/>
      <c r="AY299" s="25"/>
      <c r="AZ299" s="25"/>
    </row>
    <row r="300" spans="1:60" x14ac:dyDescent="0.5">
      <c r="A300" s="25"/>
      <c r="B300" s="25"/>
      <c r="C300" s="25" t="s">
        <v>23</v>
      </c>
      <c r="D300" s="25" t="s">
        <v>131</v>
      </c>
      <c r="E300" s="25"/>
      <c r="F300" s="106" t="s">
        <v>129</v>
      </c>
      <c r="G300" s="25"/>
      <c r="I300" s="25"/>
      <c r="J300" s="104" cm="1">
        <f t="array" ref="J300">IF(J295=0,0,INDEX(capex,MATCH($B226,assetnames,0),J295))</f>
        <v>0</v>
      </c>
      <c r="K300" s="104" cm="1">
        <f t="array" ref="K300">IF(K295=0,0,INDEX(capex,MATCH($B226,assetnames,0),K295))</f>
        <v>0</v>
      </c>
      <c r="L300" s="104" cm="1">
        <f t="array" ref="L300">IF(L295=0,0,INDEX(capex,MATCH($B226,assetnames,0),L295))</f>
        <v>0</v>
      </c>
      <c r="M300" s="104" cm="1">
        <f t="array" ref="M300">IF(M295=0,0,INDEX(capex,MATCH($B226,assetnames,0),M295))</f>
        <v>0</v>
      </c>
      <c r="N300" s="104" cm="1">
        <f t="array" ref="N300">IF(N295=0,0,INDEX(capex,MATCH($B226,assetnames,0),N295))</f>
        <v>0</v>
      </c>
      <c r="O300" s="104" cm="1">
        <f t="array" ref="O300">IF(O295=0,0,INDEX(capex,MATCH($B226,assetnames,0),O295))</f>
        <v>0</v>
      </c>
      <c r="P300" s="104" cm="1">
        <f t="array" ref="P300">IF(P295=0,0,INDEX(capex,MATCH($B226,assetnames,0),P295))</f>
        <v>0</v>
      </c>
      <c r="Q300" s="104" cm="1">
        <f t="array" ref="Q300">IF(Q295=0,0,INDEX(capex,MATCH($B226,assetnames,0),Q295))</f>
        <v>0</v>
      </c>
      <c r="R300" s="104" cm="1">
        <f t="array" ref="R300">IF(R295=0,0,INDEX(capex,MATCH($B226,assetnames,0),R295))</f>
        <v>0</v>
      </c>
      <c r="S300" s="104" cm="1">
        <f t="array" ref="S300">IF(S295=0,0,INDEX(capex,MATCH($B226,assetnames,0),S295))</f>
        <v>0</v>
      </c>
      <c r="T300" s="104" cm="1">
        <f t="array" ref="T300">IF(T295=0,0,INDEX(capex,MATCH($B226,assetnames,0),T295))</f>
        <v>0</v>
      </c>
      <c r="U300" s="104" cm="1">
        <f t="array" ref="U300">IF(U295=0,0,INDEX(capex,MATCH($B226,assetnames,0),U295))</f>
        <v>0</v>
      </c>
      <c r="V300" s="104" cm="1">
        <f t="array" ref="V300">IF(V295=0,0,INDEX(capex,MATCH($B226,assetnames,0),V295))</f>
        <v>0</v>
      </c>
      <c r="W300" s="104" cm="1">
        <f t="array" ref="W300">IF(W295=0,0,INDEX(capex,MATCH($B226,assetnames,0),W295))</f>
        <v>0</v>
      </c>
      <c r="X300" s="104" cm="1">
        <f t="array" ref="X300">IF(X295=0,0,INDEX(capex,MATCH($B226,assetnames,0),X295))</f>
        <v>0</v>
      </c>
      <c r="Y300" s="104" cm="1">
        <f t="array" ref="Y300">IF(Y295=0,0,INDEX(capex,MATCH($B226,assetnames,0),Y295))</f>
        <v>0</v>
      </c>
      <c r="Z300" s="104" cm="1">
        <f t="array" ref="Z300">IF(Z295=0,0,INDEX(capex,MATCH($B226,assetnames,0),Z295))</f>
        <v>0</v>
      </c>
      <c r="AA300" s="104" cm="1">
        <f t="array" ref="AA300">IF(AA295=0,0,INDEX(capex,MATCH($B226,assetnames,0),AA295))</f>
        <v>0</v>
      </c>
      <c r="AB300" s="104" cm="1">
        <f t="array" ref="AB300">IF(AB295=0,0,INDEX(capex,MATCH($B226,assetnames,0),AB295))</f>
        <v>0</v>
      </c>
      <c r="AC300" s="104" cm="1">
        <f t="array" ref="AC300">IF(AC295=0,0,INDEX(capex,MATCH($B226,assetnames,0),AC295))</f>
        <v>0</v>
      </c>
      <c r="AD300" s="104" cm="1">
        <f t="array" ref="AD300">IF(AD295=0,0,INDEX(capex,MATCH($B226,assetnames,0),AD295))</f>
        <v>0</v>
      </c>
      <c r="AE300" s="104" cm="1">
        <f t="array" ref="AE300">IF(AE295=0,0,INDEX(capex,MATCH($B226,assetnames,0),AE295))</f>
        <v>0</v>
      </c>
      <c r="AF300" s="104" cm="1">
        <f t="array" ref="AF300">IF(AF295=0,0,INDEX(capex,MATCH($B226,assetnames,0),AF295))</f>
        <v>0</v>
      </c>
      <c r="AG300" s="104" cm="1">
        <f t="array" ref="AG300">IF(AG295=0,0,INDEX(capex,MATCH($B226,assetnames,0),AG295))</f>
        <v>0</v>
      </c>
      <c r="AH300" s="104" cm="1">
        <f t="array" ref="AH300">IF(AH295=0,0,INDEX(capex,MATCH($B226,assetnames,0),AH295))</f>
        <v>0</v>
      </c>
      <c r="AI300" s="104" cm="1">
        <f t="array" ref="AI300">IF(AI295=0,0,INDEX(capex,MATCH($B226,assetnames,0),AI295))</f>
        <v>0</v>
      </c>
      <c r="AJ300" s="104" cm="1">
        <f t="array" ref="AJ300">IF(AJ295=0,0,INDEX(capex,MATCH($B226,assetnames,0),AJ295))</f>
        <v>0</v>
      </c>
      <c r="AK300" s="104" cm="1">
        <f t="array" ref="AK300">IF(AK295=0,0,INDEX(capex,MATCH($B226,assetnames,0),AK295))</f>
        <v>0</v>
      </c>
      <c r="AL300" s="104" cm="1">
        <f t="array" ref="AL300">IF(AL295=0,0,INDEX(capex,MATCH($B226,assetnames,0),AL295))</f>
        <v>0</v>
      </c>
      <c r="AM300" s="104" cm="1">
        <f t="array" ref="AM300">IF(AM295=0,0,INDEX(capex,MATCH($B226,assetnames,0),AM295))</f>
        <v>0</v>
      </c>
      <c r="AN300" s="25"/>
      <c r="AO300" s="25"/>
      <c r="AP300" s="25"/>
      <c r="AQ300" s="25"/>
      <c r="AR300" s="25"/>
      <c r="AS300" s="25"/>
      <c r="AT300" s="25"/>
      <c r="AU300" s="25"/>
      <c r="AV300" s="25"/>
      <c r="AW300" s="25"/>
      <c r="AX300" s="25"/>
      <c r="AY300" s="25"/>
      <c r="AZ300" s="25"/>
    </row>
    <row r="301" spans="1:60" x14ac:dyDescent="0.5">
      <c r="A301" s="25"/>
      <c r="B301" s="25"/>
      <c r="C301" s="25" t="s">
        <v>24</v>
      </c>
      <c r="D301" s="25" t="s">
        <v>131</v>
      </c>
      <c r="E301" s="25"/>
      <c r="F301" s="121" t="str">
        <f>IF(H302=0,"",INDEX($J$7:$AM$7,1,MATCH(1,$J294:$AM294,0)))</f>
        <v/>
      </c>
      <c r="G301" s="25"/>
      <c r="H301" s="25"/>
      <c r="I301" s="25"/>
      <c r="J301" s="104">
        <f t="shared" ref="J301:AM301" si="248">IF(J291=1,INDEX(opex,MATCH($B226,assetnames,0),J296),0)</f>
        <v>0</v>
      </c>
      <c r="K301" s="104">
        <f t="shared" si="248"/>
        <v>0</v>
      </c>
      <c r="L301" s="104">
        <f t="shared" si="248"/>
        <v>0</v>
      </c>
      <c r="M301" s="104">
        <f t="shared" si="248"/>
        <v>0</v>
      </c>
      <c r="N301" s="104">
        <f t="shared" si="248"/>
        <v>0</v>
      </c>
      <c r="O301" s="104">
        <f t="shared" si="248"/>
        <v>0</v>
      </c>
      <c r="P301" s="104">
        <f t="shared" si="248"/>
        <v>0</v>
      </c>
      <c r="Q301" s="104">
        <f t="shared" si="248"/>
        <v>0</v>
      </c>
      <c r="R301" s="104">
        <f t="shared" si="248"/>
        <v>0</v>
      </c>
      <c r="S301" s="104">
        <f t="shared" si="248"/>
        <v>0</v>
      </c>
      <c r="T301" s="104">
        <f t="shared" si="248"/>
        <v>0</v>
      </c>
      <c r="U301" s="104">
        <f t="shared" si="248"/>
        <v>0</v>
      </c>
      <c r="V301" s="104">
        <f t="shared" si="248"/>
        <v>0</v>
      </c>
      <c r="W301" s="104">
        <f t="shared" si="248"/>
        <v>0</v>
      </c>
      <c r="X301" s="104">
        <f t="shared" si="248"/>
        <v>0</v>
      </c>
      <c r="Y301" s="104">
        <f t="shared" si="248"/>
        <v>0</v>
      </c>
      <c r="Z301" s="104">
        <f t="shared" si="248"/>
        <v>0</v>
      </c>
      <c r="AA301" s="104">
        <f t="shared" si="248"/>
        <v>0</v>
      </c>
      <c r="AB301" s="104">
        <f t="shared" si="248"/>
        <v>0</v>
      </c>
      <c r="AC301" s="104">
        <f t="shared" si="248"/>
        <v>0</v>
      </c>
      <c r="AD301" s="104">
        <f t="shared" si="248"/>
        <v>0</v>
      </c>
      <c r="AE301" s="104">
        <f t="shared" si="248"/>
        <v>0</v>
      </c>
      <c r="AF301" s="104">
        <f t="shared" si="248"/>
        <v>0</v>
      </c>
      <c r="AG301" s="104">
        <f t="shared" si="248"/>
        <v>0</v>
      </c>
      <c r="AH301" s="104">
        <f t="shared" si="248"/>
        <v>0</v>
      </c>
      <c r="AI301" s="104">
        <f t="shared" si="248"/>
        <v>0</v>
      </c>
      <c r="AJ301" s="104">
        <f t="shared" si="248"/>
        <v>0</v>
      </c>
      <c r="AK301" s="104">
        <f t="shared" si="248"/>
        <v>0</v>
      </c>
      <c r="AL301" s="104">
        <f t="shared" si="248"/>
        <v>0</v>
      </c>
      <c r="AM301" s="104">
        <f t="shared" si="248"/>
        <v>0</v>
      </c>
      <c r="AN301" s="25"/>
      <c r="AO301" s="25"/>
      <c r="AP301" s="25"/>
      <c r="AQ301" s="25"/>
      <c r="AR301" s="25"/>
      <c r="AS301" s="25"/>
      <c r="AT301" s="25"/>
      <c r="AU301" s="25"/>
      <c r="AV301" s="25"/>
      <c r="AW301" s="25"/>
      <c r="AX301" s="25"/>
      <c r="AY301" s="25"/>
      <c r="AZ301" s="25"/>
    </row>
    <row r="302" spans="1:60" s="101" customFormat="1" x14ac:dyDescent="0.5">
      <c r="A302" s="26"/>
      <c r="B302" s="26"/>
      <c r="C302" s="26" t="s">
        <v>25</v>
      </c>
      <c r="D302" s="26" t="s">
        <v>131</v>
      </c>
      <c r="E302" s="26"/>
      <c r="F302" s="26"/>
      <c r="G302" s="26"/>
      <c r="H302" s="112">
        <f>J302+NPV(discountrate,K302:AK302)</f>
        <v>0</v>
      </c>
      <c r="I302" s="26"/>
      <c r="J302" s="112">
        <f>SUM(J299:J301)</f>
        <v>0</v>
      </c>
      <c r="K302" s="112">
        <f t="shared" ref="K302:AM302" si="249">SUM(K299:K301)</f>
        <v>0</v>
      </c>
      <c r="L302" s="112">
        <f t="shared" si="249"/>
        <v>0</v>
      </c>
      <c r="M302" s="112">
        <f t="shared" si="249"/>
        <v>0</v>
      </c>
      <c r="N302" s="112">
        <f t="shared" si="249"/>
        <v>0</v>
      </c>
      <c r="O302" s="112">
        <f t="shared" si="249"/>
        <v>0</v>
      </c>
      <c r="P302" s="112">
        <f t="shared" si="249"/>
        <v>0</v>
      </c>
      <c r="Q302" s="112">
        <f t="shared" si="249"/>
        <v>0</v>
      </c>
      <c r="R302" s="112">
        <f t="shared" si="249"/>
        <v>0</v>
      </c>
      <c r="S302" s="112">
        <f t="shared" si="249"/>
        <v>0</v>
      </c>
      <c r="T302" s="112">
        <f t="shared" si="249"/>
        <v>0</v>
      </c>
      <c r="U302" s="112">
        <f t="shared" si="249"/>
        <v>0</v>
      </c>
      <c r="V302" s="112">
        <f t="shared" si="249"/>
        <v>0</v>
      </c>
      <c r="W302" s="112">
        <f t="shared" si="249"/>
        <v>0</v>
      </c>
      <c r="X302" s="112">
        <f t="shared" si="249"/>
        <v>0</v>
      </c>
      <c r="Y302" s="112">
        <f t="shared" si="249"/>
        <v>0</v>
      </c>
      <c r="Z302" s="112">
        <f t="shared" si="249"/>
        <v>0</v>
      </c>
      <c r="AA302" s="112">
        <f t="shared" si="249"/>
        <v>0</v>
      </c>
      <c r="AB302" s="112">
        <f t="shared" si="249"/>
        <v>0</v>
      </c>
      <c r="AC302" s="112">
        <f t="shared" si="249"/>
        <v>0</v>
      </c>
      <c r="AD302" s="112">
        <f t="shared" si="249"/>
        <v>0</v>
      </c>
      <c r="AE302" s="112">
        <f t="shared" si="249"/>
        <v>0</v>
      </c>
      <c r="AF302" s="112">
        <f t="shared" si="249"/>
        <v>0</v>
      </c>
      <c r="AG302" s="112">
        <f t="shared" si="249"/>
        <v>0</v>
      </c>
      <c r="AH302" s="112">
        <f t="shared" si="249"/>
        <v>0</v>
      </c>
      <c r="AI302" s="112">
        <f t="shared" si="249"/>
        <v>0</v>
      </c>
      <c r="AJ302" s="112">
        <f t="shared" si="249"/>
        <v>0</v>
      </c>
      <c r="AK302" s="112">
        <f t="shared" si="249"/>
        <v>0</v>
      </c>
      <c r="AL302" s="112">
        <f t="shared" si="249"/>
        <v>0</v>
      </c>
      <c r="AM302" s="112">
        <f t="shared" si="249"/>
        <v>0</v>
      </c>
      <c r="AN302" s="26"/>
      <c r="AO302" s="26"/>
      <c r="AP302" s="26"/>
      <c r="AQ302" s="26"/>
      <c r="AR302" s="26"/>
      <c r="AS302" s="26"/>
      <c r="AT302" s="26"/>
      <c r="AU302" s="26"/>
      <c r="AV302" s="26"/>
      <c r="AW302" s="26"/>
      <c r="AX302" s="26"/>
      <c r="AY302" s="26"/>
      <c r="AZ302" s="26"/>
    </row>
    <row r="303" spans="1:60" s="101" customFormat="1" x14ac:dyDescent="0.5">
      <c r="A303" s="26"/>
      <c r="B303" s="26"/>
      <c r="C303" s="26"/>
      <c r="D303" s="26"/>
      <c r="E303" s="26"/>
      <c r="F303" s="26"/>
      <c r="G303" s="26"/>
      <c r="H303" s="155"/>
      <c r="I303" s="2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26"/>
      <c r="AO303" s="26"/>
      <c r="AP303" s="26"/>
      <c r="AQ303" s="26"/>
      <c r="AR303" s="26"/>
      <c r="AS303" s="26"/>
      <c r="AT303" s="26"/>
      <c r="AU303" s="26"/>
      <c r="AV303" s="26"/>
      <c r="AW303" s="26"/>
      <c r="AX303" s="26"/>
      <c r="AY303" s="26"/>
      <c r="AZ303" s="26"/>
    </row>
    <row r="304" spans="1:60" s="101" customFormat="1" x14ac:dyDescent="0.5">
      <c r="A304" s="26"/>
      <c r="B304" s="26"/>
      <c r="C304" s="26" t="s">
        <v>147</v>
      </c>
      <c r="D304" s="26"/>
      <c r="E304" s="26"/>
      <c r="F304" s="26"/>
      <c r="G304" s="26"/>
      <c r="H304" s="154"/>
      <c r="I304" s="26"/>
      <c r="J304" s="154"/>
      <c r="K304" s="154"/>
      <c r="L304" s="154"/>
      <c r="M304" s="154"/>
      <c r="N304" s="154"/>
      <c r="O304" s="154"/>
      <c r="P304" s="154"/>
      <c r="Q304" s="154"/>
      <c r="R304" s="154"/>
      <c r="S304" s="154"/>
      <c r="T304" s="154"/>
      <c r="U304" s="154"/>
      <c r="V304" s="154"/>
      <c r="W304" s="154"/>
      <c r="X304" s="154"/>
      <c r="Y304" s="154"/>
      <c r="Z304" s="154"/>
      <c r="AA304" s="154"/>
      <c r="AB304" s="154"/>
      <c r="AC304" s="154"/>
      <c r="AD304" s="154"/>
      <c r="AE304" s="154"/>
      <c r="AF304" s="154"/>
      <c r="AG304" s="154"/>
      <c r="AH304" s="154"/>
      <c r="AI304" s="154"/>
      <c r="AJ304" s="154"/>
      <c r="AK304" s="154"/>
      <c r="AL304" s="154"/>
      <c r="AM304" s="154"/>
      <c r="AN304" s="26"/>
      <c r="AO304" s="26"/>
      <c r="AP304" s="26"/>
      <c r="AQ304" s="26"/>
      <c r="AR304" s="26"/>
      <c r="AS304" s="26"/>
      <c r="AT304" s="26"/>
      <c r="AU304" s="26"/>
      <c r="AV304" s="26"/>
      <c r="AW304" s="26"/>
      <c r="AX304" s="26"/>
      <c r="AY304" s="26"/>
      <c r="AZ304" s="26"/>
    </row>
    <row r="305" spans="1:60" s="101" customFormat="1" x14ac:dyDescent="0.5">
      <c r="A305" s="26"/>
      <c r="B305" s="26"/>
      <c r="C305" s="26"/>
      <c r="D305" s="26"/>
      <c r="E305" s="26"/>
      <c r="F305" s="26"/>
      <c r="G305" s="26"/>
      <c r="H305" s="157"/>
      <c r="I305" s="26"/>
      <c r="J305" s="157"/>
      <c r="K305" s="157"/>
      <c r="L305" s="157"/>
      <c r="M305" s="157"/>
      <c r="N305" s="157"/>
      <c r="O305" s="157"/>
      <c r="P305" s="157"/>
      <c r="Q305" s="157"/>
      <c r="R305" s="157"/>
      <c r="S305" s="157"/>
      <c r="T305" s="157"/>
      <c r="U305" s="157"/>
      <c r="V305" s="157"/>
      <c r="W305" s="157"/>
      <c r="X305" s="157"/>
      <c r="Y305" s="157"/>
      <c r="Z305" s="157"/>
      <c r="AA305" s="157"/>
      <c r="AB305" s="157"/>
      <c r="AC305" s="157"/>
      <c r="AD305" s="157"/>
      <c r="AE305" s="157"/>
      <c r="AF305" s="157"/>
      <c r="AG305" s="157"/>
      <c r="AH305" s="157"/>
      <c r="AI305" s="157"/>
      <c r="AJ305" s="157"/>
      <c r="AK305" s="157"/>
      <c r="AL305" s="157"/>
      <c r="AM305" s="157"/>
      <c r="AN305" s="26"/>
      <c r="AO305" s="26"/>
      <c r="AP305" s="26"/>
      <c r="AQ305" s="26"/>
      <c r="AR305" s="26"/>
      <c r="AS305" s="26"/>
      <c r="AT305" s="26"/>
      <c r="AU305" s="26"/>
      <c r="AV305" s="26"/>
      <c r="AW305" s="26"/>
      <c r="AX305" s="26"/>
      <c r="AY305" s="26"/>
      <c r="AZ305" s="26"/>
    </row>
    <row r="306" spans="1:60" s="101" customFormat="1" x14ac:dyDescent="0.5">
      <c r="A306" s="26"/>
      <c r="B306" s="26"/>
      <c r="C306" s="25" t="s">
        <v>94</v>
      </c>
      <c r="D306" s="25" t="s">
        <v>35</v>
      </c>
      <c r="E306" s="26"/>
      <c r="F306" s="26"/>
      <c r="G306" s="26"/>
      <c r="H306" s="157"/>
      <c r="I306" s="26"/>
      <c r="J306" s="105">
        <f t="shared" ref="J306:AM306" si="250">INDEX(dischargevolumes,MATCH($C306,volumesnames,0),MATCH(J$7,years,0))</f>
        <v>0</v>
      </c>
      <c r="K306" s="105">
        <f t="shared" si="250"/>
        <v>0</v>
      </c>
      <c r="L306" s="105">
        <f t="shared" si="250"/>
        <v>0</v>
      </c>
      <c r="M306" s="105">
        <f t="shared" si="250"/>
        <v>0</v>
      </c>
      <c r="N306" s="105">
        <f t="shared" si="250"/>
        <v>0</v>
      </c>
      <c r="O306" s="105">
        <f t="shared" si="250"/>
        <v>0</v>
      </c>
      <c r="P306" s="105">
        <f t="shared" si="250"/>
        <v>0</v>
      </c>
      <c r="Q306" s="105">
        <f t="shared" si="250"/>
        <v>0</v>
      </c>
      <c r="R306" s="105">
        <f t="shared" si="250"/>
        <v>0</v>
      </c>
      <c r="S306" s="105">
        <f t="shared" si="250"/>
        <v>0</v>
      </c>
      <c r="T306" s="105">
        <f t="shared" si="250"/>
        <v>0</v>
      </c>
      <c r="U306" s="105">
        <f t="shared" si="250"/>
        <v>0</v>
      </c>
      <c r="V306" s="105">
        <f t="shared" si="250"/>
        <v>0</v>
      </c>
      <c r="W306" s="105">
        <f t="shared" si="250"/>
        <v>0</v>
      </c>
      <c r="X306" s="105">
        <f t="shared" si="250"/>
        <v>0</v>
      </c>
      <c r="Y306" s="105">
        <f t="shared" si="250"/>
        <v>0</v>
      </c>
      <c r="Z306" s="105">
        <f t="shared" si="250"/>
        <v>0</v>
      </c>
      <c r="AA306" s="105">
        <f t="shared" si="250"/>
        <v>0</v>
      </c>
      <c r="AB306" s="105">
        <f t="shared" si="250"/>
        <v>0</v>
      </c>
      <c r="AC306" s="105">
        <f t="shared" si="250"/>
        <v>0</v>
      </c>
      <c r="AD306" s="105">
        <f t="shared" si="250"/>
        <v>0</v>
      </c>
      <c r="AE306" s="105">
        <f t="shared" si="250"/>
        <v>0</v>
      </c>
      <c r="AF306" s="105">
        <f t="shared" si="250"/>
        <v>0</v>
      </c>
      <c r="AG306" s="105">
        <f t="shared" si="250"/>
        <v>0</v>
      </c>
      <c r="AH306" s="105">
        <f t="shared" si="250"/>
        <v>0</v>
      </c>
      <c r="AI306" s="105">
        <f t="shared" si="250"/>
        <v>0</v>
      </c>
      <c r="AJ306" s="105">
        <f t="shared" si="250"/>
        <v>0</v>
      </c>
      <c r="AK306" s="105">
        <f t="shared" si="250"/>
        <v>0</v>
      </c>
      <c r="AL306" s="105">
        <f t="shared" si="250"/>
        <v>0</v>
      </c>
      <c r="AM306" s="105">
        <f t="shared" si="250"/>
        <v>0</v>
      </c>
      <c r="AN306" s="26"/>
      <c r="AO306" s="26"/>
      <c r="AP306" s="26"/>
      <c r="AQ306" s="26"/>
      <c r="AR306" s="26"/>
      <c r="AS306" s="26"/>
      <c r="AT306" s="26"/>
      <c r="AU306" s="26"/>
      <c r="AV306" s="26"/>
      <c r="AW306" s="26"/>
      <c r="AX306" s="26"/>
      <c r="AY306" s="26"/>
      <c r="AZ306" s="26"/>
    </row>
    <row r="307" spans="1:60" s="101" customFormat="1" x14ac:dyDescent="0.5">
      <c r="A307" s="26"/>
      <c r="B307" s="26"/>
      <c r="C307" s="25" t="s">
        <v>148</v>
      </c>
      <c r="D307" s="25" t="s">
        <v>150</v>
      </c>
      <c r="E307" s="26"/>
      <c r="F307" s="26"/>
      <c r="G307" s="26"/>
      <c r="H307" s="157"/>
      <c r="I307" s="26"/>
      <c r="J307" s="105">
        <f t="shared" ref="J307:AM307" si="251">INDEX(dischargeexistingcost,MATCH(J$7,years,0))</f>
        <v>0</v>
      </c>
      <c r="K307" s="105">
        <f t="shared" si="251"/>
        <v>0</v>
      </c>
      <c r="L307" s="105">
        <f t="shared" si="251"/>
        <v>0</v>
      </c>
      <c r="M307" s="105">
        <f t="shared" si="251"/>
        <v>0</v>
      </c>
      <c r="N307" s="105">
        <f t="shared" si="251"/>
        <v>0</v>
      </c>
      <c r="O307" s="105">
        <f t="shared" si="251"/>
        <v>0</v>
      </c>
      <c r="P307" s="105">
        <f t="shared" si="251"/>
        <v>0</v>
      </c>
      <c r="Q307" s="105">
        <f t="shared" si="251"/>
        <v>0</v>
      </c>
      <c r="R307" s="105">
        <f t="shared" si="251"/>
        <v>0</v>
      </c>
      <c r="S307" s="105">
        <f t="shared" si="251"/>
        <v>0</v>
      </c>
      <c r="T307" s="105">
        <f t="shared" si="251"/>
        <v>0</v>
      </c>
      <c r="U307" s="105">
        <f t="shared" si="251"/>
        <v>0</v>
      </c>
      <c r="V307" s="105">
        <f t="shared" si="251"/>
        <v>0</v>
      </c>
      <c r="W307" s="105">
        <f t="shared" si="251"/>
        <v>0</v>
      </c>
      <c r="X307" s="105">
        <f t="shared" si="251"/>
        <v>0</v>
      </c>
      <c r="Y307" s="105">
        <f t="shared" si="251"/>
        <v>0</v>
      </c>
      <c r="Z307" s="105">
        <f t="shared" si="251"/>
        <v>0</v>
      </c>
      <c r="AA307" s="105">
        <f t="shared" si="251"/>
        <v>0</v>
      </c>
      <c r="AB307" s="105">
        <f t="shared" si="251"/>
        <v>0</v>
      </c>
      <c r="AC307" s="105">
        <f t="shared" si="251"/>
        <v>0</v>
      </c>
      <c r="AD307" s="105">
        <f t="shared" si="251"/>
        <v>0</v>
      </c>
      <c r="AE307" s="105">
        <f t="shared" si="251"/>
        <v>0</v>
      </c>
      <c r="AF307" s="105">
        <f t="shared" si="251"/>
        <v>0</v>
      </c>
      <c r="AG307" s="105">
        <f t="shared" si="251"/>
        <v>0</v>
      </c>
      <c r="AH307" s="105">
        <f t="shared" si="251"/>
        <v>0</v>
      </c>
      <c r="AI307" s="105">
        <f t="shared" si="251"/>
        <v>0</v>
      </c>
      <c r="AJ307" s="105">
        <f t="shared" si="251"/>
        <v>0</v>
      </c>
      <c r="AK307" s="105">
        <f t="shared" si="251"/>
        <v>0</v>
      </c>
      <c r="AL307" s="105">
        <f t="shared" si="251"/>
        <v>0</v>
      </c>
      <c r="AM307" s="105">
        <f t="shared" si="251"/>
        <v>0</v>
      </c>
      <c r="AN307" s="26"/>
      <c r="AO307" s="26"/>
      <c r="AP307" s="26"/>
      <c r="AQ307" s="26"/>
      <c r="AR307" s="26"/>
      <c r="AS307" s="26"/>
      <c r="AT307" s="26"/>
      <c r="AU307" s="26"/>
      <c r="AV307" s="26"/>
      <c r="AW307" s="26"/>
      <c r="AX307" s="26"/>
      <c r="AY307" s="26"/>
      <c r="AZ307" s="26"/>
    </row>
    <row r="308" spans="1:60" s="101" customFormat="1" x14ac:dyDescent="0.5">
      <c r="A308" s="26"/>
      <c r="B308" s="26"/>
      <c r="C308" s="26" t="s">
        <v>149</v>
      </c>
      <c r="D308" s="26" t="s">
        <v>150</v>
      </c>
      <c r="E308" s="26"/>
      <c r="F308" s="26"/>
      <c r="G308" s="26"/>
      <c r="H308" s="105">
        <f>J308+NPV(discountrate,K308:AM308)</f>
        <v>0</v>
      </c>
      <c r="I308" s="26"/>
      <c r="J308" s="105">
        <f>J306*J307</f>
        <v>0</v>
      </c>
      <c r="K308" s="105">
        <f t="shared" ref="K308:AM308" si="252">K306*K307</f>
        <v>0</v>
      </c>
      <c r="L308" s="105">
        <f t="shared" si="252"/>
        <v>0</v>
      </c>
      <c r="M308" s="105">
        <f t="shared" si="252"/>
        <v>0</v>
      </c>
      <c r="N308" s="105">
        <f t="shared" si="252"/>
        <v>0</v>
      </c>
      <c r="O308" s="105">
        <f t="shared" si="252"/>
        <v>0</v>
      </c>
      <c r="P308" s="105">
        <f t="shared" si="252"/>
        <v>0</v>
      </c>
      <c r="Q308" s="105">
        <f t="shared" si="252"/>
        <v>0</v>
      </c>
      <c r="R308" s="105">
        <f t="shared" si="252"/>
        <v>0</v>
      </c>
      <c r="S308" s="105">
        <f t="shared" si="252"/>
        <v>0</v>
      </c>
      <c r="T308" s="105">
        <f t="shared" si="252"/>
        <v>0</v>
      </c>
      <c r="U308" s="105">
        <f t="shared" si="252"/>
        <v>0</v>
      </c>
      <c r="V308" s="105">
        <f t="shared" si="252"/>
        <v>0</v>
      </c>
      <c r="W308" s="105">
        <f t="shared" si="252"/>
        <v>0</v>
      </c>
      <c r="X308" s="105">
        <f t="shared" si="252"/>
        <v>0</v>
      </c>
      <c r="Y308" s="105">
        <f t="shared" si="252"/>
        <v>0</v>
      </c>
      <c r="Z308" s="105">
        <f t="shared" si="252"/>
        <v>0</v>
      </c>
      <c r="AA308" s="105">
        <f t="shared" si="252"/>
        <v>0</v>
      </c>
      <c r="AB308" s="105">
        <f t="shared" si="252"/>
        <v>0</v>
      </c>
      <c r="AC308" s="105">
        <f t="shared" si="252"/>
        <v>0</v>
      </c>
      <c r="AD308" s="105">
        <f t="shared" si="252"/>
        <v>0</v>
      </c>
      <c r="AE308" s="105">
        <f t="shared" si="252"/>
        <v>0</v>
      </c>
      <c r="AF308" s="105">
        <f t="shared" si="252"/>
        <v>0</v>
      </c>
      <c r="AG308" s="105">
        <f t="shared" si="252"/>
        <v>0</v>
      </c>
      <c r="AH308" s="105">
        <f t="shared" si="252"/>
        <v>0</v>
      </c>
      <c r="AI308" s="105">
        <f t="shared" si="252"/>
        <v>0</v>
      </c>
      <c r="AJ308" s="105">
        <f t="shared" si="252"/>
        <v>0</v>
      </c>
      <c r="AK308" s="105">
        <f t="shared" si="252"/>
        <v>0</v>
      </c>
      <c r="AL308" s="105">
        <f t="shared" si="252"/>
        <v>0</v>
      </c>
      <c r="AM308" s="105">
        <f t="shared" si="252"/>
        <v>0</v>
      </c>
      <c r="AN308" s="26"/>
      <c r="AO308" s="26"/>
      <c r="AP308" s="26"/>
      <c r="AQ308" s="26"/>
      <c r="AR308" s="26"/>
      <c r="AS308" s="26"/>
      <c r="AT308" s="26"/>
      <c r="AU308" s="26"/>
      <c r="AV308" s="26"/>
      <c r="AW308" s="26"/>
      <c r="AX308" s="26"/>
      <c r="AY308" s="26"/>
      <c r="AZ308" s="26"/>
    </row>
    <row r="309" spans="1:60" x14ac:dyDescent="0.5">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row>
    <row r="310" spans="1:60" ht="19.5" x14ac:dyDescent="0.55000000000000004">
      <c r="A310" s="25"/>
      <c r="C310" s="97" t="s">
        <v>96</v>
      </c>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row>
    <row r="311" spans="1:60" x14ac:dyDescent="0.5">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row>
    <row r="312" spans="1:60" x14ac:dyDescent="0.5">
      <c r="A312" s="25"/>
      <c r="B312" s="25"/>
      <c r="C312" s="98" t="s">
        <v>21</v>
      </c>
      <c r="D312" s="99"/>
      <c r="E312" s="99"/>
      <c r="F312" s="25"/>
      <c r="G312" s="25"/>
      <c r="H312" s="99"/>
      <c r="I312" s="25"/>
      <c r="J312" s="99"/>
      <c r="K312" s="99"/>
      <c r="L312" s="99"/>
      <c r="M312" s="99"/>
      <c r="N312" s="99"/>
      <c r="O312" s="99"/>
      <c r="P312" s="99"/>
      <c r="Q312" s="99"/>
      <c r="R312" s="99"/>
      <c r="S312" s="99"/>
      <c r="T312" s="99"/>
      <c r="U312" s="99"/>
      <c r="V312" s="99"/>
      <c r="W312" s="99"/>
      <c r="X312" s="99"/>
      <c r="Y312" s="99"/>
      <c r="Z312" s="99"/>
      <c r="AA312" s="99"/>
      <c r="AB312" s="99"/>
      <c r="AC312" s="99"/>
      <c r="AD312" s="99"/>
      <c r="AE312" s="99"/>
      <c r="AF312" s="99"/>
      <c r="AG312" s="99"/>
      <c r="AH312" s="99"/>
      <c r="AI312" s="99"/>
      <c r="AJ312" s="99"/>
      <c r="AK312" s="99"/>
      <c r="AL312" s="99"/>
      <c r="AM312" s="99"/>
      <c r="AN312" s="25"/>
      <c r="AO312" s="25"/>
      <c r="AP312" s="25"/>
      <c r="AQ312" s="25"/>
      <c r="AR312" s="25"/>
      <c r="AS312" s="25"/>
      <c r="AT312" s="25"/>
      <c r="AU312" s="25"/>
      <c r="AV312" s="25"/>
      <c r="AW312" s="25"/>
      <c r="AX312" s="25"/>
      <c r="AY312" s="25"/>
      <c r="AZ312" s="25"/>
    </row>
    <row r="313" spans="1:60" x14ac:dyDescent="0.5">
      <c r="A313" s="25"/>
      <c r="B313" s="25"/>
      <c r="C313" s="98" t="s">
        <v>18</v>
      </c>
      <c r="D313" s="98"/>
      <c r="E313" s="98"/>
      <c r="F313" s="25"/>
      <c r="G313" s="25"/>
      <c r="H313" s="99"/>
      <c r="I313" s="25"/>
      <c r="J313" s="107">
        <f t="shared" ref="J313:AM313" si="253">IF(J320&lt;INDEX(tippingpoints,MATCH($B226,tippingpointnames,0),1),0,1)</f>
        <v>1</v>
      </c>
      <c r="K313" s="107">
        <f t="shared" si="253"/>
        <v>1</v>
      </c>
      <c r="L313" s="107">
        <f t="shared" si="253"/>
        <v>1</v>
      </c>
      <c r="M313" s="107">
        <f t="shared" si="253"/>
        <v>1</v>
      </c>
      <c r="N313" s="107">
        <f t="shared" si="253"/>
        <v>1</v>
      </c>
      <c r="O313" s="107">
        <f t="shared" si="253"/>
        <v>1</v>
      </c>
      <c r="P313" s="107">
        <f t="shared" si="253"/>
        <v>1</v>
      </c>
      <c r="Q313" s="107">
        <f t="shared" si="253"/>
        <v>1</v>
      </c>
      <c r="R313" s="107">
        <f t="shared" si="253"/>
        <v>1</v>
      </c>
      <c r="S313" s="107">
        <f t="shared" si="253"/>
        <v>1</v>
      </c>
      <c r="T313" s="107">
        <f t="shared" si="253"/>
        <v>1</v>
      </c>
      <c r="U313" s="107">
        <f t="shared" si="253"/>
        <v>1</v>
      </c>
      <c r="V313" s="107">
        <f t="shared" si="253"/>
        <v>1</v>
      </c>
      <c r="W313" s="107">
        <f t="shared" si="253"/>
        <v>1</v>
      </c>
      <c r="X313" s="107">
        <f t="shared" si="253"/>
        <v>1</v>
      </c>
      <c r="Y313" s="107">
        <f t="shared" si="253"/>
        <v>1</v>
      </c>
      <c r="Z313" s="107">
        <f t="shared" si="253"/>
        <v>1</v>
      </c>
      <c r="AA313" s="107">
        <f t="shared" si="253"/>
        <v>1</v>
      </c>
      <c r="AB313" s="107">
        <f t="shared" si="253"/>
        <v>1</v>
      </c>
      <c r="AC313" s="107">
        <f t="shared" si="253"/>
        <v>1</v>
      </c>
      <c r="AD313" s="107">
        <f t="shared" si="253"/>
        <v>1</v>
      </c>
      <c r="AE313" s="107">
        <f t="shared" si="253"/>
        <v>1</v>
      </c>
      <c r="AF313" s="107">
        <f t="shared" si="253"/>
        <v>1</v>
      </c>
      <c r="AG313" s="107">
        <f t="shared" si="253"/>
        <v>1</v>
      </c>
      <c r="AH313" s="107">
        <f t="shared" si="253"/>
        <v>1</v>
      </c>
      <c r="AI313" s="107">
        <f t="shared" si="253"/>
        <v>1</v>
      </c>
      <c r="AJ313" s="107">
        <f t="shared" si="253"/>
        <v>1</v>
      </c>
      <c r="AK313" s="107">
        <f t="shared" si="253"/>
        <v>1</v>
      </c>
      <c r="AL313" s="107">
        <f t="shared" si="253"/>
        <v>1</v>
      </c>
      <c r="AM313" s="107">
        <f t="shared" si="253"/>
        <v>1</v>
      </c>
      <c r="AN313" s="25"/>
      <c r="AO313" s="25"/>
      <c r="AP313" s="25"/>
      <c r="AQ313" s="25"/>
      <c r="AR313" s="25"/>
      <c r="AS313" s="25"/>
      <c r="AT313" s="25"/>
      <c r="AU313" s="25"/>
      <c r="AV313" s="25"/>
      <c r="AW313" s="25"/>
      <c r="AX313" s="25"/>
      <c r="AY313" s="25"/>
      <c r="AZ313" s="25"/>
    </row>
    <row r="314" spans="1:60" x14ac:dyDescent="0.5">
      <c r="A314" s="25"/>
      <c r="B314" s="25"/>
      <c r="C314" s="98" t="s">
        <v>19</v>
      </c>
      <c r="D314" s="98"/>
      <c r="E314" s="98"/>
      <c r="F314" s="25"/>
      <c r="G314" s="25"/>
      <c r="H314" s="99"/>
      <c r="I314" s="25"/>
      <c r="J314" s="109">
        <f>IF(SUM($J313:J313)=0,0,1)</f>
        <v>1</v>
      </c>
      <c r="K314" s="109">
        <f>IF(SUM($J313:K313)=0,0,1)</f>
        <v>1</v>
      </c>
      <c r="L314" s="109">
        <f>IF(SUM($J313:L313)=0,0,1)</f>
        <v>1</v>
      </c>
      <c r="M314" s="109">
        <f>IF(SUM($J313:M313)=0,0,1)</f>
        <v>1</v>
      </c>
      <c r="N314" s="109">
        <f>IF(SUM($J313:N313)=0,0,1)</f>
        <v>1</v>
      </c>
      <c r="O314" s="109">
        <f>IF(SUM($J313:O313)=0,0,1)</f>
        <v>1</v>
      </c>
      <c r="P314" s="109">
        <f>IF(SUM($J313:P313)=0,0,1)</f>
        <v>1</v>
      </c>
      <c r="Q314" s="109">
        <f>IF(SUM($J313:Q313)=0,0,1)</f>
        <v>1</v>
      </c>
      <c r="R314" s="109">
        <f>IF(SUM($J313:R313)=0,0,1)</f>
        <v>1</v>
      </c>
      <c r="S314" s="109">
        <f>IF(SUM($J313:S313)=0,0,1)</f>
        <v>1</v>
      </c>
      <c r="T314" s="109">
        <f>IF(SUM($J313:T313)=0,0,1)</f>
        <v>1</v>
      </c>
      <c r="U314" s="109">
        <f>IF(SUM($J313:U313)=0,0,1)</f>
        <v>1</v>
      </c>
      <c r="V314" s="109">
        <f>IF(SUM($J313:V313)=0,0,1)</f>
        <v>1</v>
      </c>
      <c r="W314" s="109">
        <f>IF(SUM($J313:W313)=0,0,1)</f>
        <v>1</v>
      </c>
      <c r="X314" s="109">
        <f>IF(SUM($J313:X313)=0,0,1)</f>
        <v>1</v>
      </c>
      <c r="Y314" s="109">
        <f>IF(SUM($J313:Y313)=0,0,1)</f>
        <v>1</v>
      </c>
      <c r="Z314" s="109">
        <f>IF(SUM($J313:Z313)=0,0,1)</f>
        <v>1</v>
      </c>
      <c r="AA314" s="109">
        <f>IF(SUM($J313:AA313)=0,0,1)</f>
        <v>1</v>
      </c>
      <c r="AB314" s="109">
        <f>IF(SUM($J313:AB313)=0,0,1)</f>
        <v>1</v>
      </c>
      <c r="AC314" s="109">
        <f>IF(SUM($J313:AC313)=0,0,1)</f>
        <v>1</v>
      </c>
      <c r="AD314" s="109">
        <f>IF(SUM($J313:AD313)=0,0,1)</f>
        <v>1</v>
      </c>
      <c r="AE314" s="109">
        <f>IF(SUM($J313:AE313)=0,0,1)</f>
        <v>1</v>
      </c>
      <c r="AF314" s="109">
        <f>IF(SUM($J313:AF313)=0,0,1)</f>
        <v>1</v>
      </c>
      <c r="AG314" s="109">
        <f>IF(SUM($J313:AG313)=0,0,1)</f>
        <v>1</v>
      </c>
      <c r="AH314" s="109">
        <f>IF(SUM($J313:AH313)=0,0,1)</f>
        <v>1</v>
      </c>
      <c r="AI314" s="109">
        <f>IF(SUM($J313:AI313)=0,0,1)</f>
        <v>1</v>
      </c>
      <c r="AJ314" s="109">
        <f>IF(SUM($J313:AJ313)=0,0,1)</f>
        <v>1</v>
      </c>
      <c r="AK314" s="109">
        <f>IF(SUM($J313:AK313)=0,0,1)</f>
        <v>1</v>
      </c>
      <c r="AL314" s="109">
        <f>IF(SUM($J313:AL313)=0,0,1)</f>
        <v>1</v>
      </c>
      <c r="AM314" s="109">
        <f>IF(SUM($J313:AM313)=0,0,1)</f>
        <v>1</v>
      </c>
      <c r="AN314" s="25"/>
      <c r="AO314" s="25"/>
      <c r="AP314" s="25"/>
      <c r="AQ314" s="25"/>
      <c r="AR314" s="25"/>
      <c r="AS314" s="25"/>
      <c r="AT314" s="25"/>
      <c r="AU314" s="25"/>
      <c r="AV314" s="25"/>
      <c r="AW314" s="25"/>
      <c r="AX314" s="25"/>
      <c r="AY314" s="25"/>
      <c r="AZ314" s="25"/>
    </row>
    <row r="315" spans="1:60" x14ac:dyDescent="0.5">
      <c r="A315" s="25"/>
      <c r="B315" s="25"/>
      <c r="C315" s="98" t="s">
        <v>20</v>
      </c>
      <c r="D315" s="98"/>
      <c r="E315" s="98"/>
      <c r="F315" s="25"/>
      <c r="G315" s="25"/>
      <c r="H315" s="99"/>
      <c r="I315" s="25"/>
      <c r="J315" s="109">
        <f>IF($AM314=0,0,IF(AND(J314=0,J313=0),K315-1,0))</f>
        <v>0</v>
      </c>
      <c r="K315" s="109">
        <f t="shared" ref="K315" si="254">IF($AM314=0,0,IF(AND(K314=0,K313=0),L315-1,0))</f>
        <v>0</v>
      </c>
      <c r="L315" s="109">
        <f t="shared" ref="L315" si="255">IF($AM314=0,0,IF(AND(L314=0,L313=0),M315-1,0))</f>
        <v>0</v>
      </c>
      <c r="M315" s="109">
        <f t="shared" ref="M315" si="256">IF($AM314=0,0,IF(AND(M314=0,M313=0),N315-1,0))</f>
        <v>0</v>
      </c>
      <c r="N315" s="109">
        <f t="shared" ref="N315" si="257">IF($AM314=0,0,IF(AND(N314=0,N313=0),O315-1,0))</f>
        <v>0</v>
      </c>
      <c r="O315" s="109">
        <f t="shared" ref="O315" si="258">IF($AM314=0,0,IF(AND(O314=0,O313=0),P315-1,0))</f>
        <v>0</v>
      </c>
      <c r="P315" s="109">
        <f t="shared" ref="P315" si="259">IF($AM314=0,0,IF(AND(P314=0,P313=0),Q315-1,0))</f>
        <v>0</v>
      </c>
      <c r="Q315" s="109">
        <f t="shared" ref="Q315" si="260">IF($AM314=0,0,IF(AND(Q314=0,Q313=0),R315-1,0))</f>
        <v>0</v>
      </c>
      <c r="R315" s="109">
        <f t="shared" ref="R315" si="261">IF($AM314=0,0,IF(AND(R314=0,R313=0),S315-1,0))</f>
        <v>0</v>
      </c>
      <c r="S315" s="109">
        <f t="shared" ref="S315" si="262">IF($AM314=0,0,IF(AND(S314=0,S313=0),T315-1,0))</f>
        <v>0</v>
      </c>
      <c r="T315" s="109">
        <f t="shared" ref="T315" si="263">IF($AM314=0,0,IF(AND(T314=0,T313=0),U315-1,0))</f>
        <v>0</v>
      </c>
      <c r="U315" s="109">
        <f t="shared" ref="U315" si="264">IF($AM314=0,0,IF(AND(U314=0,U313=0),V315-1,0))</f>
        <v>0</v>
      </c>
      <c r="V315" s="109">
        <f t="shared" ref="V315" si="265">IF($AM314=0,0,IF(AND(V314=0,V313=0),W315-1,0))</f>
        <v>0</v>
      </c>
      <c r="W315" s="109">
        <f t="shared" ref="W315" si="266">IF($AM314=0,0,IF(AND(W314=0,W313=0),X315-1,0))</f>
        <v>0</v>
      </c>
      <c r="X315" s="109">
        <f t="shared" ref="X315" si="267">IF($AM314=0,0,IF(AND(X314=0,X313=0),Y315-1,0))</f>
        <v>0</v>
      </c>
      <c r="Y315" s="109">
        <f t="shared" ref="Y315" si="268">IF($AM314=0,0,IF(AND(Y314=0,Y313=0),Z315-1,0))</f>
        <v>0</v>
      </c>
      <c r="Z315" s="109">
        <f t="shared" ref="Z315" si="269">IF($AM314=0,0,IF(AND(Z314=0,Z313=0),AA315-1,0))</f>
        <v>0</v>
      </c>
      <c r="AA315" s="109">
        <f t="shared" ref="AA315" si="270">IF($AM314=0,0,IF(AND(AA314=0,AA313=0),AB315-1,0))</f>
        <v>0</v>
      </c>
      <c r="AB315" s="109">
        <f t="shared" ref="AB315" si="271">IF($AM314=0,0,IF(AND(AB314=0,AB313=0),AC315-1,0))</f>
        <v>0</v>
      </c>
      <c r="AC315" s="109">
        <f t="shared" ref="AC315" si="272">IF($AM314=0,0,IF(AND(AC314=0,AC313=0),AD315-1,0))</f>
        <v>0</v>
      </c>
      <c r="AD315" s="109">
        <f t="shared" ref="AD315" si="273">IF($AM314=0,0,IF(AND(AD314=0,AD313=0),AE315-1,0))</f>
        <v>0</v>
      </c>
      <c r="AE315" s="109">
        <f t="shared" ref="AE315" si="274">IF($AM314=0,0,IF(AND(AE314=0,AE313=0),AF315-1,0))</f>
        <v>0</v>
      </c>
      <c r="AF315" s="109">
        <f t="shared" ref="AF315" si="275">IF($AM314=0,0,IF(AND(AF314=0,AF313=0),AG315-1,0))</f>
        <v>0</v>
      </c>
      <c r="AG315" s="109">
        <f t="shared" ref="AG315" si="276">IF($AM314=0,0,IF(AND(AG314=0,AG313=0),AH315-1,0))</f>
        <v>0</v>
      </c>
      <c r="AH315" s="109">
        <f t="shared" ref="AH315" si="277">IF($AM314=0,0,IF(AND(AH314=0,AH313=0),AI315-1,0))</f>
        <v>0</v>
      </c>
      <c r="AI315" s="109">
        <f t="shared" ref="AI315" si="278">IF($AM314=0,0,IF(AND(AI314=0,AI313=0),AJ315-1,0))</f>
        <v>0</v>
      </c>
      <c r="AJ315" s="109">
        <f t="shared" ref="AJ315" si="279">IF($AM314=0,0,IF(AND(AJ314=0,AJ313=0),AK315-1,0))</f>
        <v>0</v>
      </c>
      <c r="AK315" s="109">
        <f t="shared" ref="AK315" si="280">IF($AM314=0,0,IF(AND(AK314=0,AK313=0),AL315-1,0))</f>
        <v>0</v>
      </c>
      <c r="AL315" s="109">
        <f t="shared" ref="AL315" si="281">IF($AM314=0,0,IF(AND(AL314=0,AL313=0),AM315-1,0))</f>
        <v>0</v>
      </c>
      <c r="AM315" s="109">
        <f t="shared" ref="AM315" si="282">IF($AM314=0,0,IF(AND(AM314=0,AM313=0),AN315-1,0))</f>
        <v>0</v>
      </c>
      <c r="AN315" s="25"/>
      <c r="AO315" s="25"/>
      <c r="AP315" s="25"/>
      <c r="AQ315" s="25"/>
      <c r="AR315" s="25"/>
      <c r="AS315" s="25"/>
      <c r="AT315" s="25"/>
      <c r="AU315" s="25"/>
      <c r="AV315" s="25"/>
      <c r="AW315" s="25"/>
      <c r="AX315" s="25"/>
      <c r="AY315" s="25"/>
      <c r="AZ315" s="25"/>
    </row>
    <row r="316" spans="1:60" x14ac:dyDescent="0.5">
      <c r="A316" s="25"/>
      <c r="B316" s="25"/>
      <c r="C316" s="98" t="s">
        <v>118</v>
      </c>
      <c r="D316" s="98"/>
      <c r="E316" s="98"/>
      <c r="F316" s="108"/>
      <c r="G316" s="98"/>
      <c r="H316" s="99"/>
      <c r="I316" s="99"/>
      <c r="J316" s="109">
        <f t="shared" ref="J316:AM316" si="283">IF(ABS(J315)=INDEX(leadtimes,MATCH($B226,assetnames,0),1),1,0)</f>
        <v>1</v>
      </c>
      <c r="K316" s="109">
        <f t="shared" si="283"/>
        <v>1</v>
      </c>
      <c r="L316" s="109">
        <f t="shared" si="283"/>
        <v>1</v>
      </c>
      <c r="M316" s="109">
        <f t="shared" si="283"/>
        <v>1</v>
      </c>
      <c r="N316" s="109">
        <f t="shared" si="283"/>
        <v>1</v>
      </c>
      <c r="O316" s="109">
        <f t="shared" si="283"/>
        <v>1</v>
      </c>
      <c r="P316" s="109">
        <f t="shared" si="283"/>
        <v>1</v>
      </c>
      <c r="Q316" s="109">
        <f t="shared" si="283"/>
        <v>1</v>
      </c>
      <c r="R316" s="109">
        <f t="shared" si="283"/>
        <v>1</v>
      </c>
      <c r="S316" s="109">
        <f t="shared" si="283"/>
        <v>1</v>
      </c>
      <c r="T316" s="109">
        <f t="shared" si="283"/>
        <v>1</v>
      </c>
      <c r="U316" s="109">
        <f t="shared" si="283"/>
        <v>1</v>
      </c>
      <c r="V316" s="109">
        <f t="shared" si="283"/>
        <v>1</v>
      </c>
      <c r="W316" s="109">
        <f t="shared" si="283"/>
        <v>1</v>
      </c>
      <c r="X316" s="109">
        <f t="shared" si="283"/>
        <v>1</v>
      </c>
      <c r="Y316" s="109">
        <f t="shared" si="283"/>
        <v>1</v>
      </c>
      <c r="Z316" s="109">
        <f t="shared" si="283"/>
        <v>1</v>
      </c>
      <c r="AA316" s="109">
        <f t="shared" si="283"/>
        <v>1</v>
      </c>
      <c r="AB316" s="109">
        <f t="shared" si="283"/>
        <v>1</v>
      </c>
      <c r="AC316" s="109">
        <f t="shared" si="283"/>
        <v>1</v>
      </c>
      <c r="AD316" s="109">
        <f t="shared" si="283"/>
        <v>1</v>
      </c>
      <c r="AE316" s="109">
        <f t="shared" si="283"/>
        <v>1</v>
      </c>
      <c r="AF316" s="109">
        <f t="shared" si="283"/>
        <v>1</v>
      </c>
      <c r="AG316" s="109">
        <f t="shared" si="283"/>
        <v>1</v>
      </c>
      <c r="AH316" s="109">
        <f t="shared" si="283"/>
        <v>1</v>
      </c>
      <c r="AI316" s="109">
        <f t="shared" si="283"/>
        <v>1</v>
      </c>
      <c r="AJ316" s="109">
        <f t="shared" si="283"/>
        <v>1</v>
      </c>
      <c r="AK316" s="109">
        <f t="shared" si="283"/>
        <v>1</v>
      </c>
      <c r="AL316" s="109">
        <f t="shared" si="283"/>
        <v>1</v>
      </c>
      <c r="AM316" s="109">
        <f t="shared" si="283"/>
        <v>1</v>
      </c>
      <c r="AN316" s="109"/>
      <c r="AO316" s="109"/>
      <c r="AP316" s="109"/>
      <c r="AQ316" s="109"/>
      <c r="AR316" s="109"/>
      <c r="AS316" s="109"/>
      <c r="AT316" s="109"/>
      <c r="AU316" s="109"/>
      <c r="AV316" s="109"/>
      <c r="AW316" s="109"/>
      <c r="AX316" s="109"/>
      <c r="AY316" s="109"/>
      <c r="AZ316" s="109"/>
      <c r="BA316" s="109"/>
      <c r="BB316" s="109"/>
      <c r="BC316" s="109"/>
      <c r="BD316" s="109"/>
      <c r="BE316" s="100"/>
      <c r="BF316" s="100"/>
      <c r="BG316" s="100"/>
      <c r="BH316" s="100"/>
    </row>
    <row r="317" spans="1:60" x14ac:dyDescent="0.5">
      <c r="A317" s="25"/>
      <c r="B317" s="25"/>
      <c r="C317" s="98" t="s">
        <v>119</v>
      </c>
      <c r="D317" s="98"/>
      <c r="E317" s="98"/>
      <c r="F317" s="108"/>
      <c r="G317" s="98"/>
      <c r="H317" s="99"/>
      <c r="I317" s="99"/>
      <c r="J317" s="109">
        <f>IF(SUM($J316:J316)=1,1,0)+I317</f>
        <v>1</v>
      </c>
      <c r="K317" s="109">
        <f>IF(SUM($J316:K316)=1,1,0)+J317</f>
        <v>1</v>
      </c>
      <c r="L317" s="109">
        <f>IF(SUM($J316:L316)=1,1,0)+K317</f>
        <v>1</v>
      </c>
      <c r="M317" s="109">
        <f>IF(SUM($J316:M316)=1,1,0)+L317</f>
        <v>1</v>
      </c>
      <c r="N317" s="109">
        <f>IF(SUM($J316:N316)=1,1,0)+M317</f>
        <v>1</v>
      </c>
      <c r="O317" s="109">
        <f>IF(SUM($J316:O316)=1,1,0)+N317</f>
        <v>1</v>
      </c>
      <c r="P317" s="109">
        <f>IF(SUM($J316:P316)=1,1,0)+O317</f>
        <v>1</v>
      </c>
      <c r="Q317" s="109">
        <f>IF(SUM($J316:Q316)=1,1,0)+P317</f>
        <v>1</v>
      </c>
      <c r="R317" s="109">
        <f>IF(SUM($J316:R316)=1,1,0)+Q317</f>
        <v>1</v>
      </c>
      <c r="S317" s="109">
        <f>IF(SUM($J316:S316)=1,1,0)+R317</f>
        <v>1</v>
      </c>
      <c r="T317" s="109">
        <f>IF(SUM($J316:T316)=1,1,0)+S317</f>
        <v>1</v>
      </c>
      <c r="U317" s="109">
        <f>IF(SUM($J316:U316)=1,1,0)+T317</f>
        <v>1</v>
      </c>
      <c r="V317" s="109">
        <f>IF(SUM($J316:V316)=1,1,0)+U317</f>
        <v>1</v>
      </c>
      <c r="W317" s="109">
        <f>IF(SUM($J316:W316)=1,1,0)+V317</f>
        <v>1</v>
      </c>
      <c r="X317" s="109">
        <f>IF(SUM($J316:X316)=1,1,0)+W317</f>
        <v>1</v>
      </c>
      <c r="Y317" s="109">
        <f>IF(SUM($J316:Y316)=1,1,0)+X317</f>
        <v>1</v>
      </c>
      <c r="Z317" s="109">
        <f>IF(SUM($J316:Z316)=1,1,0)+Y317</f>
        <v>1</v>
      </c>
      <c r="AA317" s="109">
        <f>IF(SUM($J316:AA316)=1,1,0)+Z317</f>
        <v>1</v>
      </c>
      <c r="AB317" s="109">
        <f>IF(SUM($J316:AB316)=1,1,0)+AA317</f>
        <v>1</v>
      </c>
      <c r="AC317" s="109">
        <f>IF(SUM($J316:AC316)=1,1,0)+AB317</f>
        <v>1</v>
      </c>
      <c r="AD317" s="109">
        <f>IF(SUM($J316:AD316)=1,1,0)+AC317</f>
        <v>1</v>
      </c>
      <c r="AE317" s="109">
        <f>IF(SUM($J316:AE316)=1,1,0)+AD317</f>
        <v>1</v>
      </c>
      <c r="AF317" s="109">
        <f>IF(SUM($J316:AF316)=1,1,0)+AE317</f>
        <v>1</v>
      </c>
      <c r="AG317" s="109">
        <f>IF(SUM($J316:AG316)=1,1,0)+AF317</f>
        <v>1</v>
      </c>
      <c r="AH317" s="109">
        <f>IF(SUM($J316:AH316)=1,1,0)+AG317</f>
        <v>1</v>
      </c>
      <c r="AI317" s="109">
        <f>IF(SUM($J316:AI316)=1,1,0)+AH317</f>
        <v>1</v>
      </c>
      <c r="AJ317" s="109">
        <f>IF(SUM($J316:AJ316)=1,1,0)+AI317</f>
        <v>1</v>
      </c>
      <c r="AK317" s="109">
        <f>IF(SUM($J316:AK316)=1,1,0)+AJ317</f>
        <v>1</v>
      </c>
      <c r="AL317" s="109">
        <f>IF(SUM($J316:AL316)=1,1,0)+AK317</f>
        <v>1</v>
      </c>
      <c r="AM317" s="109">
        <f>IF(SUM($J316:AM316)=1,1,0)+AL317</f>
        <v>1</v>
      </c>
      <c r="AN317" s="109"/>
      <c r="AO317" s="109"/>
      <c r="AP317" s="109"/>
      <c r="AQ317" s="109"/>
      <c r="AR317" s="109"/>
      <c r="AS317" s="109"/>
      <c r="AT317" s="109"/>
      <c r="AU317" s="109"/>
      <c r="AV317" s="109"/>
      <c r="AW317" s="109"/>
      <c r="AX317" s="109"/>
      <c r="AY317" s="109"/>
      <c r="AZ317" s="109"/>
      <c r="BA317" s="109"/>
      <c r="BB317" s="109"/>
      <c r="BC317" s="109"/>
      <c r="BD317" s="109"/>
      <c r="BE317" s="100"/>
      <c r="BF317" s="100"/>
      <c r="BG317" s="100"/>
      <c r="BH317" s="100"/>
    </row>
    <row r="318" spans="1:60" ht="15.65" customHeight="1" x14ac:dyDescent="0.5">
      <c r="A318" s="25"/>
      <c r="B318" s="25"/>
      <c r="C318" s="98" t="s">
        <v>117</v>
      </c>
      <c r="D318" s="99"/>
      <c r="E318" s="99"/>
      <c r="F318" s="106"/>
      <c r="G318" s="99"/>
      <c r="H318" s="99"/>
      <c r="I318" s="99"/>
      <c r="J318" s="107">
        <f>SUM($J313:J313)</f>
        <v>1</v>
      </c>
      <c r="K318" s="107">
        <f>SUM($J313:K313)</f>
        <v>2</v>
      </c>
      <c r="L318" s="107">
        <f>SUM($J313:L313)</f>
        <v>3</v>
      </c>
      <c r="M318" s="107">
        <f>SUM($J313:M313)</f>
        <v>4</v>
      </c>
      <c r="N318" s="107">
        <f>SUM($J313:N313)</f>
        <v>5</v>
      </c>
      <c r="O318" s="107">
        <f>SUM($J313:O313)</f>
        <v>6</v>
      </c>
      <c r="P318" s="107">
        <f>SUM($J313:P313)</f>
        <v>7</v>
      </c>
      <c r="Q318" s="107">
        <f>SUM($J313:Q313)</f>
        <v>8</v>
      </c>
      <c r="R318" s="107">
        <f>SUM($J313:R313)</f>
        <v>9</v>
      </c>
      <c r="S318" s="107">
        <f>SUM($J313:S313)</f>
        <v>10</v>
      </c>
      <c r="T318" s="107">
        <f>SUM($J313:T313)</f>
        <v>11</v>
      </c>
      <c r="U318" s="107">
        <f>SUM($J313:U313)</f>
        <v>12</v>
      </c>
      <c r="V318" s="107">
        <f>SUM($J313:V313)</f>
        <v>13</v>
      </c>
      <c r="W318" s="107">
        <f>SUM($J313:W313)</f>
        <v>14</v>
      </c>
      <c r="X318" s="107">
        <f>SUM($J313:X313)</f>
        <v>15</v>
      </c>
      <c r="Y318" s="107">
        <f>SUM($J313:Y313)</f>
        <v>16</v>
      </c>
      <c r="Z318" s="107">
        <f>SUM($J313:Z313)</f>
        <v>17</v>
      </c>
      <c r="AA318" s="107">
        <f>SUM($J313:AA313)</f>
        <v>18</v>
      </c>
      <c r="AB318" s="107">
        <f>SUM($J313:AB313)</f>
        <v>19</v>
      </c>
      <c r="AC318" s="107">
        <f>SUM($J313:AC313)</f>
        <v>20</v>
      </c>
      <c r="AD318" s="107">
        <f>SUM($J313:AD313)</f>
        <v>21</v>
      </c>
      <c r="AE318" s="107">
        <f>SUM($J313:AE313)</f>
        <v>22</v>
      </c>
      <c r="AF318" s="107">
        <f>SUM($J313:AF313)</f>
        <v>23</v>
      </c>
      <c r="AG318" s="107">
        <f>SUM($J313:AG313)</f>
        <v>24</v>
      </c>
      <c r="AH318" s="107">
        <f>SUM($J313:AH313)</f>
        <v>25</v>
      </c>
      <c r="AI318" s="107">
        <f>SUM($J313:AI313)</f>
        <v>26</v>
      </c>
      <c r="AJ318" s="107">
        <f>SUM($J313:AJ313)</f>
        <v>27</v>
      </c>
      <c r="AK318" s="107">
        <f>SUM($J313:AK313)</f>
        <v>28</v>
      </c>
      <c r="AL318" s="107">
        <f>SUM($J313:AL313)</f>
        <v>29</v>
      </c>
      <c r="AM318" s="107">
        <f>SUM($J313:AM313)</f>
        <v>30</v>
      </c>
      <c r="AN318" s="107"/>
      <c r="AO318" s="107"/>
      <c r="AP318" s="107"/>
      <c r="AQ318" s="107"/>
      <c r="AR318" s="107"/>
      <c r="AS318" s="107"/>
      <c r="AT318" s="107"/>
      <c r="AU318" s="107"/>
      <c r="AV318" s="107"/>
      <c r="AW318" s="107"/>
      <c r="AX318" s="107"/>
      <c r="AY318" s="107"/>
      <c r="AZ318" s="107"/>
      <c r="BA318" s="107"/>
      <c r="BB318" s="107"/>
      <c r="BC318" s="107"/>
      <c r="BD318" s="107"/>
      <c r="BE318" s="107"/>
      <c r="BF318" s="107"/>
      <c r="BG318" s="107"/>
      <c r="BH318" s="107"/>
    </row>
    <row r="319" spans="1:60" x14ac:dyDescent="0.5">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row>
    <row r="320" spans="1:60" x14ac:dyDescent="0.5">
      <c r="A320" s="25"/>
      <c r="B320" s="25"/>
      <c r="C320" s="25" t="s">
        <v>96</v>
      </c>
      <c r="D320" s="25" t="s">
        <v>1</v>
      </c>
      <c r="E320" s="25"/>
      <c r="G320" s="25"/>
      <c r="H320" s="105">
        <f>J320+NPV(discountrate,K320:AK320)</f>
        <v>0</v>
      </c>
      <c r="I320" s="25"/>
      <c r="J320" s="105">
        <f t="shared" ref="J320:AM320" si="284">INDEX(dischargevolumes,MATCH($C320,volumesnames,0),MATCH(J$7,years,0))</f>
        <v>0</v>
      </c>
      <c r="K320" s="105">
        <f t="shared" si="284"/>
        <v>0</v>
      </c>
      <c r="L320" s="105">
        <f t="shared" si="284"/>
        <v>0</v>
      </c>
      <c r="M320" s="105">
        <f t="shared" si="284"/>
        <v>0</v>
      </c>
      <c r="N320" s="105">
        <f t="shared" si="284"/>
        <v>0</v>
      </c>
      <c r="O320" s="105">
        <f t="shared" si="284"/>
        <v>0</v>
      </c>
      <c r="P320" s="105">
        <f t="shared" si="284"/>
        <v>0</v>
      </c>
      <c r="Q320" s="105">
        <f t="shared" si="284"/>
        <v>0</v>
      </c>
      <c r="R320" s="105">
        <f t="shared" si="284"/>
        <v>0</v>
      </c>
      <c r="S320" s="105">
        <f t="shared" si="284"/>
        <v>0</v>
      </c>
      <c r="T320" s="105">
        <f t="shared" si="284"/>
        <v>0</v>
      </c>
      <c r="U320" s="105">
        <f t="shared" si="284"/>
        <v>0</v>
      </c>
      <c r="V320" s="105">
        <f t="shared" si="284"/>
        <v>0</v>
      </c>
      <c r="W320" s="105">
        <f t="shared" si="284"/>
        <v>0</v>
      </c>
      <c r="X320" s="105">
        <f t="shared" si="284"/>
        <v>0</v>
      </c>
      <c r="Y320" s="105">
        <f t="shared" si="284"/>
        <v>0</v>
      </c>
      <c r="Z320" s="105">
        <f t="shared" si="284"/>
        <v>0</v>
      </c>
      <c r="AA320" s="105">
        <f t="shared" si="284"/>
        <v>0</v>
      </c>
      <c r="AB320" s="105">
        <f t="shared" si="284"/>
        <v>0</v>
      </c>
      <c r="AC320" s="105">
        <f t="shared" si="284"/>
        <v>0</v>
      </c>
      <c r="AD320" s="105">
        <f t="shared" si="284"/>
        <v>0</v>
      </c>
      <c r="AE320" s="105">
        <f t="shared" si="284"/>
        <v>0</v>
      </c>
      <c r="AF320" s="105">
        <f t="shared" si="284"/>
        <v>0</v>
      </c>
      <c r="AG320" s="105">
        <f t="shared" si="284"/>
        <v>0</v>
      </c>
      <c r="AH320" s="105">
        <f t="shared" si="284"/>
        <v>0</v>
      </c>
      <c r="AI320" s="105">
        <f t="shared" si="284"/>
        <v>0</v>
      </c>
      <c r="AJ320" s="105">
        <f t="shared" si="284"/>
        <v>0</v>
      </c>
      <c r="AK320" s="105">
        <f t="shared" si="284"/>
        <v>0</v>
      </c>
      <c r="AL320" s="105">
        <f t="shared" si="284"/>
        <v>0</v>
      </c>
      <c r="AM320" s="105">
        <f t="shared" si="284"/>
        <v>0</v>
      </c>
      <c r="AN320" s="25"/>
      <c r="AO320" s="25"/>
      <c r="AP320" s="25"/>
      <c r="AQ320" s="25"/>
      <c r="AR320" s="25"/>
      <c r="AS320" s="25"/>
      <c r="AT320" s="25"/>
      <c r="AU320" s="25"/>
      <c r="AV320" s="25"/>
      <c r="AW320" s="25"/>
      <c r="AX320" s="25"/>
      <c r="AY320" s="25"/>
      <c r="AZ320" s="25"/>
    </row>
    <row r="321" spans="1:52" x14ac:dyDescent="0.5">
      <c r="A321" s="25"/>
      <c r="B321" s="25"/>
      <c r="C321" s="25" t="s">
        <v>147</v>
      </c>
      <c r="D321" s="25" t="s">
        <v>150</v>
      </c>
      <c r="E321" s="25"/>
      <c r="F321" s="106"/>
      <c r="G321" s="25"/>
      <c r="H321" s="25"/>
      <c r="I321" s="25"/>
      <c r="J321" s="105">
        <f>J330</f>
        <v>0</v>
      </c>
      <c r="K321" s="105">
        <f t="shared" ref="K321:AM321" si="285">K330</f>
        <v>0</v>
      </c>
      <c r="L321" s="105">
        <f t="shared" si="285"/>
        <v>0</v>
      </c>
      <c r="M321" s="105">
        <f t="shared" si="285"/>
        <v>0</v>
      </c>
      <c r="N321" s="105">
        <f t="shared" si="285"/>
        <v>0</v>
      </c>
      <c r="O321" s="105">
        <f t="shared" si="285"/>
        <v>0</v>
      </c>
      <c r="P321" s="105">
        <f t="shared" si="285"/>
        <v>0</v>
      </c>
      <c r="Q321" s="105">
        <f t="shared" si="285"/>
        <v>0</v>
      </c>
      <c r="R321" s="105">
        <f t="shared" si="285"/>
        <v>0</v>
      </c>
      <c r="S321" s="105">
        <f t="shared" si="285"/>
        <v>0</v>
      </c>
      <c r="T321" s="105">
        <f t="shared" si="285"/>
        <v>0</v>
      </c>
      <c r="U321" s="105">
        <f t="shared" si="285"/>
        <v>0</v>
      </c>
      <c r="V321" s="105">
        <f t="shared" si="285"/>
        <v>0</v>
      </c>
      <c r="W321" s="105">
        <f t="shared" si="285"/>
        <v>0</v>
      </c>
      <c r="X321" s="105">
        <f t="shared" si="285"/>
        <v>0</v>
      </c>
      <c r="Y321" s="105">
        <f t="shared" si="285"/>
        <v>0</v>
      </c>
      <c r="Z321" s="105">
        <f t="shared" si="285"/>
        <v>0</v>
      </c>
      <c r="AA321" s="105">
        <f t="shared" si="285"/>
        <v>0</v>
      </c>
      <c r="AB321" s="105">
        <f t="shared" si="285"/>
        <v>0</v>
      </c>
      <c r="AC321" s="105">
        <f t="shared" si="285"/>
        <v>0</v>
      </c>
      <c r="AD321" s="105">
        <f t="shared" si="285"/>
        <v>0</v>
      </c>
      <c r="AE321" s="105">
        <f t="shared" si="285"/>
        <v>0</v>
      </c>
      <c r="AF321" s="105">
        <f t="shared" si="285"/>
        <v>0</v>
      </c>
      <c r="AG321" s="105">
        <f t="shared" si="285"/>
        <v>0</v>
      </c>
      <c r="AH321" s="105">
        <f t="shared" si="285"/>
        <v>0</v>
      </c>
      <c r="AI321" s="105">
        <f t="shared" si="285"/>
        <v>0</v>
      </c>
      <c r="AJ321" s="105">
        <f t="shared" si="285"/>
        <v>0</v>
      </c>
      <c r="AK321" s="105">
        <f t="shared" si="285"/>
        <v>0</v>
      </c>
      <c r="AL321" s="105">
        <f t="shared" si="285"/>
        <v>0</v>
      </c>
      <c r="AM321" s="105">
        <f t="shared" si="285"/>
        <v>0</v>
      </c>
      <c r="AN321" s="25"/>
      <c r="AO321" s="25"/>
      <c r="AP321" s="25"/>
      <c r="AQ321" s="25"/>
      <c r="AR321" s="25"/>
      <c r="AS321" s="25"/>
      <c r="AT321" s="25"/>
      <c r="AU321" s="25"/>
      <c r="AV321" s="25"/>
      <c r="AW321" s="25"/>
      <c r="AX321" s="25"/>
      <c r="AY321" s="25"/>
      <c r="AZ321" s="25"/>
    </row>
    <row r="322" spans="1:52" x14ac:dyDescent="0.5">
      <c r="A322" s="25"/>
      <c r="B322" s="25"/>
      <c r="C322" s="25" t="s">
        <v>23</v>
      </c>
      <c r="D322" s="25" t="s">
        <v>131</v>
      </c>
      <c r="E322" s="25"/>
      <c r="F322" s="106" t="s">
        <v>129</v>
      </c>
      <c r="G322" s="25"/>
      <c r="I322" s="25"/>
      <c r="J322" s="104" cm="1">
        <f t="array" ref="J322">IF(J317=0,0,INDEX(capex,MATCH($B226,assetnames,0),J317))</f>
        <v>0</v>
      </c>
      <c r="K322" s="104" cm="1">
        <f t="array" ref="K322">IF(K317=0,0,INDEX(capex,MATCH($B226,assetnames,0),K317))</f>
        <v>0</v>
      </c>
      <c r="L322" s="104" cm="1">
        <f t="array" ref="L322">IF(L317=0,0,INDEX(capex,MATCH($B226,assetnames,0),L317))</f>
        <v>0</v>
      </c>
      <c r="M322" s="104" cm="1">
        <f t="array" ref="M322">IF(M317=0,0,INDEX(capex,MATCH($B226,assetnames,0),M317))</f>
        <v>0</v>
      </c>
      <c r="N322" s="104" cm="1">
        <f t="array" ref="N322">IF(N317=0,0,INDEX(capex,MATCH($B226,assetnames,0),N317))</f>
        <v>0</v>
      </c>
      <c r="O322" s="104" cm="1">
        <f t="array" ref="O322">IF(O317=0,0,INDEX(capex,MATCH($B226,assetnames,0),O317))</f>
        <v>0</v>
      </c>
      <c r="P322" s="104" cm="1">
        <f t="array" ref="P322">IF(P317=0,0,INDEX(capex,MATCH($B226,assetnames,0),P317))</f>
        <v>0</v>
      </c>
      <c r="Q322" s="104" cm="1">
        <f t="array" ref="Q322">IF(Q317=0,0,INDEX(capex,MATCH($B226,assetnames,0),Q317))</f>
        <v>0</v>
      </c>
      <c r="R322" s="104" cm="1">
        <f t="array" ref="R322">IF(R317=0,0,INDEX(capex,MATCH($B226,assetnames,0),R317))</f>
        <v>0</v>
      </c>
      <c r="S322" s="104" cm="1">
        <f t="array" ref="S322">IF(S317=0,0,INDEX(capex,MATCH($B226,assetnames,0),S317))</f>
        <v>0</v>
      </c>
      <c r="T322" s="104" cm="1">
        <f t="array" ref="T322">IF(T317=0,0,INDEX(capex,MATCH($B226,assetnames,0),T317))</f>
        <v>0</v>
      </c>
      <c r="U322" s="104" cm="1">
        <f t="array" ref="U322">IF(U317=0,0,INDEX(capex,MATCH($B226,assetnames,0),U317))</f>
        <v>0</v>
      </c>
      <c r="V322" s="104" cm="1">
        <f t="array" ref="V322">IF(V317=0,0,INDEX(capex,MATCH($B226,assetnames,0),V317))</f>
        <v>0</v>
      </c>
      <c r="W322" s="104" cm="1">
        <f t="array" ref="W322">IF(W317=0,0,INDEX(capex,MATCH($B226,assetnames,0),W317))</f>
        <v>0</v>
      </c>
      <c r="X322" s="104" cm="1">
        <f t="array" ref="X322">IF(X317=0,0,INDEX(capex,MATCH($B226,assetnames,0),X317))</f>
        <v>0</v>
      </c>
      <c r="Y322" s="104" cm="1">
        <f t="array" ref="Y322">IF(Y317=0,0,INDEX(capex,MATCH($B226,assetnames,0),Y317))</f>
        <v>0</v>
      </c>
      <c r="Z322" s="104" cm="1">
        <f t="array" ref="Z322">IF(Z317=0,0,INDEX(capex,MATCH($B226,assetnames,0),Z317))</f>
        <v>0</v>
      </c>
      <c r="AA322" s="104" cm="1">
        <f t="array" ref="AA322">IF(AA317=0,0,INDEX(capex,MATCH($B226,assetnames,0),AA317))</f>
        <v>0</v>
      </c>
      <c r="AB322" s="104" cm="1">
        <f t="array" ref="AB322">IF(AB317=0,0,INDEX(capex,MATCH($B226,assetnames,0),AB317))</f>
        <v>0</v>
      </c>
      <c r="AC322" s="104" cm="1">
        <f t="array" ref="AC322">IF(AC317=0,0,INDEX(capex,MATCH($B226,assetnames,0),AC317))</f>
        <v>0</v>
      </c>
      <c r="AD322" s="104" cm="1">
        <f t="array" ref="AD322">IF(AD317=0,0,INDEX(capex,MATCH($B226,assetnames,0),AD317))</f>
        <v>0</v>
      </c>
      <c r="AE322" s="104" cm="1">
        <f t="array" ref="AE322">IF(AE317=0,0,INDEX(capex,MATCH($B226,assetnames,0),AE317))</f>
        <v>0</v>
      </c>
      <c r="AF322" s="104" cm="1">
        <f t="array" ref="AF322">IF(AF317=0,0,INDEX(capex,MATCH($B226,assetnames,0),AF317))</f>
        <v>0</v>
      </c>
      <c r="AG322" s="104" cm="1">
        <f t="array" ref="AG322">IF(AG317=0,0,INDEX(capex,MATCH($B226,assetnames,0),AG317))</f>
        <v>0</v>
      </c>
      <c r="AH322" s="104" cm="1">
        <f t="array" ref="AH322">IF(AH317=0,0,INDEX(capex,MATCH($B226,assetnames,0),AH317))</f>
        <v>0</v>
      </c>
      <c r="AI322" s="104" cm="1">
        <f t="array" ref="AI322">IF(AI317=0,0,INDEX(capex,MATCH($B226,assetnames,0),AI317))</f>
        <v>0</v>
      </c>
      <c r="AJ322" s="104" cm="1">
        <f t="array" ref="AJ322">IF(AJ317=0,0,INDEX(capex,MATCH($B226,assetnames,0),AJ317))</f>
        <v>0</v>
      </c>
      <c r="AK322" s="104" cm="1">
        <f t="array" ref="AK322">IF(AK317=0,0,INDEX(capex,MATCH($B226,assetnames,0),AK317))</f>
        <v>0</v>
      </c>
      <c r="AL322" s="104" cm="1">
        <f t="array" ref="AL322">IF(AL317=0,0,INDEX(capex,MATCH($B226,assetnames,0),AL317))</f>
        <v>0</v>
      </c>
      <c r="AM322" s="104" cm="1">
        <f t="array" ref="AM322">IF(AM317=0,0,INDEX(capex,MATCH($B226,assetnames,0),AM317))</f>
        <v>0</v>
      </c>
      <c r="AN322" s="25"/>
      <c r="AO322" s="25"/>
      <c r="AP322" s="25"/>
      <c r="AQ322" s="25"/>
      <c r="AR322" s="25"/>
      <c r="AS322" s="25"/>
      <c r="AT322" s="25"/>
      <c r="AU322" s="25"/>
      <c r="AV322" s="25"/>
      <c r="AW322" s="25"/>
      <c r="AX322" s="25"/>
      <c r="AY322" s="25"/>
      <c r="AZ322" s="25"/>
    </row>
    <row r="323" spans="1:52" x14ac:dyDescent="0.5">
      <c r="A323" s="25"/>
      <c r="B323" s="25"/>
      <c r="C323" s="25" t="s">
        <v>24</v>
      </c>
      <c r="D323" s="25" t="s">
        <v>131</v>
      </c>
      <c r="E323" s="25"/>
      <c r="F323" s="121" t="str">
        <f>IF(H324=0,"",INDEX($J$7:$AM$7,1,MATCH(1,$J316:$AM316,0)))</f>
        <v/>
      </c>
      <c r="G323" s="25"/>
      <c r="H323" s="25"/>
      <c r="I323" s="25"/>
      <c r="J323" s="104">
        <f t="shared" ref="J323:AM323" si="286">IF(J313=1,INDEX(opex,MATCH($B226,assetnames,0),J318),0)</f>
        <v>0</v>
      </c>
      <c r="K323" s="104">
        <f t="shared" si="286"/>
        <v>0</v>
      </c>
      <c r="L323" s="104">
        <f t="shared" si="286"/>
        <v>0</v>
      </c>
      <c r="M323" s="104">
        <f t="shared" si="286"/>
        <v>0</v>
      </c>
      <c r="N323" s="104">
        <f t="shared" si="286"/>
        <v>0</v>
      </c>
      <c r="O323" s="104">
        <f t="shared" si="286"/>
        <v>0</v>
      </c>
      <c r="P323" s="104">
        <f t="shared" si="286"/>
        <v>0</v>
      </c>
      <c r="Q323" s="104">
        <f t="shared" si="286"/>
        <v>0</v>
      </c>
      <c r="R323" s="104">
        <f t="shared" si="286"/>
        <v>0</v>
      </c>
      <c r="S323" s="104">
        <f t="shared" si="286"/>
        <v>0</v>
      </c>
      <c r="T323" s="104">
        <f t="shared" si="286"/>
        <v>0</v>
      </c>
      <c r="U323" s="104">
        <f t="shared" si="286"/>
        <v>0</v>
      </c>
      <c r="V323" s="104">
        <f t="shared" si="286"/>
        <v>0</v>
      </c>
      <c r="W323" s="104">
        <f t="shared" si="286"/>
        <v>0</v>
      </c>
      <c r="X323" s="104">
        <f t="shared" si="286"/>
        <v>0</v>
      </c>
      <c r="Y323" s="104">
        <f t="shared" si="286"/>
        <v>0</v>
      </c>
      <c r="Z323" s="104">
        <f t="shared" si="286"/>
        <v>0</v>
      </c>
      <c r="AA323" s="104">
        <f t="shared" si="286"/>
        <v>0</v>
      </c>
      <c r="AB323" s="104">
        <f t="shared" si="286"/>
        <v>0</v>
      </c>
      <c r="AC323" s="104">
        <f t="shared" si="286"/>
        <v>0</v>
      </c>
      <c r="AD323" s="104">
        <f t="shared" si="286"/>
        <v>0</v>
      </c>
      <c r="AE323" s="104">
        <f t="shared" si="286"/>
        <v>0</v>
      </c>
      <c r="AF323" s="104">
        <f t="shared" si="286"/>
        <v>0</v>
      </c>
      <c r="AG323" s="104">
        <f t="shared" si="286"/>
        <v>0</v>
      </c>
      <c r="AH323" s="104">
        <f t="shared" si="286"/>
        <v>0</v>
      </c>
      <c r="AI323" s="104">
        <f t="shared" si="286"/>
        <v>0</v>
      </c>
      <c r="AJ323" s="104">
        <f t="shared" si="286"/>
        <v>0</v>
      </c>
      <c r="AK323" s="104">
        <f t="shared" si="286"/>
        <v>0</v>
      </c>
      <c r="AL323" s="104">
        <f t="shared" si="286"/>
        <v>0</v>
      </c>
      <c r="AM323" s="104">
        <f t="shared" si="286"/>
        <v>0</v>
      </c>
      <c r="AN323" s="25"/>
      <c r="AO323" s="25"/>
      <c r="AP323" s="25"/>
      <c r="AQ323" s="25"/>
      <c r="AR323" s="25"/>
      <c r="AS323" s="25"/>
      <c r="AT323" s="25"/>
      <c r="AU323" s="25"/>
      <c r="AV323" s="25"/>
      <c r="AW323" s="25"/>
      <c r="AX323" s="25"/>
      <c r="AY323" s="25"/>
      <c r="AZ323" s="25"/>
    </row>
    <row r="324" spans="1:52" s="101" customFormat="1" x14ac:dyDescent="0.5">
      <c r="A324" s="26"/>
      <c r="B324" s="26"/>
      <c r="C324" s="26" t="s">
        <v>25</v>
      </c>
      <c r="D324" s="26" t="s">
        <v>131</v>
      </c>
      <c r="E324" s="26"/>
      <c r="F324" s="26"/>
      <c r="G324" s="26"/>
      <c r="H324" s="112">
        <f>J324+NPV(discountrate,K324:AK324)</f>
        <v>0</v>
      </c>
      <c r="I324" s="26"/>
      <c r="J324" s="112">
        <f>SUM(J321:J323)</f>
        <v>0</v>
      </c>
      <c r="K324" s="112">
        <f t="shared" ref="K324:AM324" si="287">SUM(K321:K323)</f>
        <v>0</v>
      </c>
      <c r="L324" s="112">
        <f t="shared" si="287"/>
        <v>0</v>
      </c>
      <c r="M324" s="112">
        <f t="shared" si="287"/>
        <v>0</v>
      </c>
      <c r="N324" s="112">
        <f t="shared" si="287"/>
        <v>0</v>
      </c>
      <c r="O324" s="112">
        <f t="shared" si="287"/>
        <v>0</v>
      </c>
      <c r="P324" s="112">
        <f t="shared" si="287"/>
        <v>0</v>
      </c>
      <c r="Q324" s="112">
        <f t="shared" si="287"/>
        <v>0</v>
      </c>
      <c r="R324" s="112">
        <f t="shared" si="287"/>
        <v>0</v>
      </c>
      <c r="S324" s="112">
        <f t="shared" si="287"/>
        <v>0</v>
      </c>
      <c r="T324" s="112">
        <f t="shared" si="287"/>
        <v>0</v>
      </c>
      <c r="U324" s="112">
        <f t="shared" si="287"/>
        <v>0</v>
      </c>
      <c r="V324" s="112">
        <f t="shared" si="287"/>
        <v>0</v>
      </c>
      <c r="W324" s="112">
        <f t="shared" si="287"/>
        <v>0</v>
      </c>
      <c r="X324" s="112">
        <f t="shared" si="287"/>
        <v>0</v>
      </c>
      <c r="Y324" s="112">
        <f t="shared" si="287"/>
        <v>0</v>
      </c>
      <c r="Z324" s="112">
        <f t="shared" si="287"/>
        <v>0</v>
      </c>
      <c r="AA324" s="112">
        <f t="shared" si="287"/>
        <v>0</v>
      </c>
      <c r="AB324" s="112">
        <f t="shared" si="287"/>
        <v>0</v>
      </c>
      <c r="AC324" s="112">
        <f t="shared" si="287"/>
        <v>0</v>
      </c>
      <c r="AD324" s="112">
        <f t="shared" si="287"/>
        <v>0</v>
      </c>
      <c r="AE324" s="112">
        <f t="shared" si="287"/>
        <v>0</v>
      </c>
      <c r="AF324" s="112">
        <f t="shared" si="287"/>
        <v>0</v>
      </c>
      <c r="AG324" s="112">
        <f t="shared" si="287"/>
        <v>0</v>
      </c>
      <c r="AH324" s="112">
        <f t="shared" si="287"/>
        <v>0</v>
      </c>
      <c r="AI324" s="112">
        <f t="shared" si="287"/>
        <v>0</v>
      </c>
      <c r="AJ324" s="112">
        <f t="shared" si="287"/>
        <v>0</v>
      </c>
      <c r="AK324" s="112">
        <f t="shared" si="287"/>
        <v>0</v>
      </c>
      <c r="AL324" s="112">
        <f t="shared" si="287"/>
        <v>0</v>
      </c>
      <c r="AM324" s="112">
        <f t="shared" si="287"/>
        <v>0</v>
      </c>
      <c r="AN324" s="26"/>
      <c r="AO324" s="26"/>
      <c r="AP324" s="26"/>
      <c r="AQ324" s="26"/>
      <c r="AR324" s="26"/>
      <c r="AS324" s="26"/>
      <c r="AT324" s="26"/>
      <c r="AU324" s="26"/>
      <c r="AV324" s="26"/>
      <c r="AW324" s="26"/>
      <c r="AX324" s="26"/>
      <c r="AY324" s="26"/>
      <c r="AZ324" s="26"/>
    </row>
    <row r="325" spans="1:52" s="101" customFormat="1" x14ac:dyDescent="0.5">
      <c r="A325" s="26"/>
      <c r="B325" s="26"/>
      <c r="C325" s="26"/>
      <c r="D325" s="26"/>
      <c r="E325" s="26"/>
      <c r="F325" s="26"/>
      <c r="G325" s="26"/>
      <c r="H325" s="154"/>
      <c r="I325" s="26"/>
      <c r="J325" s="154"/>
      <c r="K325" s="154"/>
      <c r="L325" s="154"/>
      <c r="M325" s="154"/>
      <c r="N325" s="154"/>
      <c r="O325" s="154"/>
      <c r="P325" s="154"/>
      <c r="Q325" s="154"/>
      <c r="R325" s="154"/>
      <c r="S325" s="154"/>
      <c r="T325" s="154"/>
      <c r="U325" s="154"/>
      <c r="V325" s="154"/>
      <c r="W325" s="154"/>
      <c r="X325" s="154"/>
      <c r="Y325" s="154"/>
      <c r="Z325" s="154"/>
      <c r="AA325" s="154"/>
      <c r="AB325" s="154"/>
      <c r="AC325" s="154"/>
      <c r="AD325" s="154"/>
      <c r="AE325" s="154"/>
      <c r="AF325" s="154"/>
      <c r="AG325" s="154"/>
      <c r="AH325" s="154"/>
      <c r="AI325" s="154"/>
      <c r="AJ325" s="154"/>
      <c r="AK325" s="154"/>
      <c r="AL325" s="154"/>
      <c r="AM325" s="154"/>
      <c r="AN325" s="26"/>
      <c r="AO325" s="26"/>
      <c r="AP325" s="26"/>
      <c r="AQ325" s="26"/>
      <c r="AR325" s="26"/>
      <c r="AS325" s="26"/>
      <c r="AT325" s="26"/>
      <c r="AU325" s="26"/>
      <c r="AV325" s="26"/>
      <c r="AW325" s="26"/>
      <c r="AX325" s="26"/>
      <c r="AY325" s="26"/>
      <c r="AZ325" s="26"/>
    </row>
    <row r="326" spans="1:52" s="101" customFormat="1" x14ac:dyDescent="0.5">
      <c r="A326" s="26"/>
      <c r="B326" s="26"/>
      <c r="C326" s="26" t="s">
        <v>147</v>
      </c>
      <c r="D326" s="26"/>
      <c r="E326" s="26"/>
      <c r="F326" s="26"/>
      <c r="G326" s="26"/>
      <c r="H326" s="154"/>
      <c r="I326" s="26"/>
      <c r="J326" s="154"/>
      <c r="K326" s="154"/>
      <c r="L326" s="154"/>
      <c r="M326" s="154"/>
      <c r="N326" s="154"/>
      <c r="O326" s="154"/>
      <c r="P326" s="154"/>
      <c r="Q326" s="154"/>
      <c r="R326" s="154"/>
      <c r="S326" s="154"/>
      <c r="T326" s="154"/>
      <c r="U326" s="154"/>
      <c r="V326" s="154"/>
      <c r="W326" s="154"/>
      <c r="X326" s="154"/>
      <c r="Y326" s="154"/>
      <c r="Z326" s="154"/>
      <c r="AA326" s="154"/>
      <c r="AB326" s="154"/>
      <c r="AC326" s="154"/>
      <c r="AD326" s="154"/>
      <c r="AE326" s="154"/>
      <c r="AF326" s="154"/>
      <c r="AG326" s="154"/>
      <c r="AH326" s="154"/>
      <c r="AI326" s="154"/>
      <c r="AJ326" s="154"/>
      <c r="AK326" s="154"/>
      <c r="AL326" s="154"/>
      <c r="AM326" s="154"/>
      <c r="AN326" s="26"/>
      <c r="AO326" s="26"/>
      <c r="AP326" s="26"/>
      <c r="AQ326" s="26"/>
      <c r="AR326" s="26"/>
      <c r="AS326" s="26"/>
      <c r="AT326" s="26"/>
      <c r="AU326" s="26"/>
      <c r="AV326" s="26"/>
      <c r="AW326" s="26"/>
      <c r="AX326" s="26"/>
      <c r="AY326" s="26"/>
      <c r="AZ326" s="26"/>
    </row>
    <row r="327" spans="1:52" s="101" customFormat="1" x14ac:dyDescent="0.5">
      <c r="A327" s="26"/>
      <c r="B327" s="26"/>
      <c r="C327" s="26"/>
      <c r="D327" s="26"/>
      <c r="E327" s="26"/>
      <c r="F327" s="26"/>
      <c r="G327" s="26"/>
      <c r="H327" s="154"/>
      <c r="I327" s="26"/>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26"/>
      <c r="AO327" s="26"/>
      <c r="AP327" s="26"/>
      <c r="AQ327" s="26"/>
      <c r="AR327" s="26"/>
      <c r="AS327" s="26"/>
      <c r="AT327" s="26"/>
      <c r="AU327" s="26"/>
      <c r="AV327" s="26"/>
      <c r="AW327" s="26"/>
      <c r="AX327" s="26"/>
      <c r="AY327" s="26"/>
      <c r="AZ327" s="26"/>
    </row>
    <row r="328" spans="1:52" s="101" customFormat="1" x14ac:dyDescent="0.5">
      <c r="A328" s="26"/>
      <c r="B328" s="26"/>
      <c r="C328" s="25" t="s">
        <v>96</v>
      </c>
      <c r="D328" s="25" t="s">
        <v>35</v>
      </c>
      <c r="E328" s="26"/>
      <c r="F328" s="26"/>
      <c r="G328" s="26"/>
      <c r="H328" s="157"/>
      <c r="I328" s="26"/>
      <c r="J328" s="105">
        <f t="shared" ref="J328:AM328" si="288">INDEX(dischargevolumes,MATCH($C328,volumesnames,0),MATCH(J$7,years,0))</f>
        <v>0</v>
      </c>
      <c r="K328" s="105">
        <f t="shared" si="288"/>
        <v>0</v>
      </c>
      <c r="L328" s="105">
        <f t="shared" si="288"/>
        <v>0</v>
      </c>
      <c r="M328" s="105">
        <f t="shared" si="288"/>
        <v>0</v>
      </c>
      <c r="N328" s="105">
        <f t="shared" si="288"/>
        <v>0</v>
      </c>
      <c r="O328" s="105">
        <f t="shared" si="288"/>
        <v>0</v>
      </c>
      <c r="P328" s="105">
        <f t="shared" si="288"/>
        <v>0</v>
      </c>
      <c r="Q328" s="105">
        <f t="shared" si="288"/>
        <v>0</v>
      </c>
      <c r="R328" s="105">
        <f t="shared" si="288"/>
        <v>0</v>
      </c>
      <c r="S328" s="105">
        <f t="shared" si="288"/>
        <v>0</v>
      </c>
      <c r="T328" s="105">
        <f t="shared" si="288"/>
        <v>0</v>
      </c>
      <c r="U328" s="105">
        <f t="shared" si="288"/>
        <v>0</v>
      </c>
      <c r="V328" s="105">
        <f t="shared" si="288"/>
        <v>0</v>
      </c>
      <c r="W328" s="105">
        <f t="shared" si="288"/>
        <v>0</v>
      </c>
      <c r="X328" s="105">
        <f t="shared" si="288"/>
        <v>0</v>
      </c>
      <c r="Y328" s="105">
        <f t="shared" si="288"/>
        <v>0</v>
      </c>
      <c r="Z328" s="105">
        <f t="shared" si="288"/>
        <v>0</v>
      </c>
      <c r="AA328" s="105">
        <f t="shared" si="288"/>
        <v>0</v>
      </c>
      <c r="AB328" s="105">
        <f t="shared" si="288"/>
        <v>0</v>
      </c>
      <c r="AC328" s="105">
        <f t="shared" si="288"/>
        <v>0</v>
      </c>
      <c r="AD328" s="105">
        <f t="shared" si="288"/>
        <v>0</v>
      </c>
      <c r="AE328" s="105">
        <f t="shared" si="288"/>
        <v>0</v>
      </c>
      <c r="AF328" s="105">
        <f t="shared" si="288"/>
        <v>0</v>
      </c>
      <c r="AG328" s="105">
        <f t="shared" si="288"/>
        <v>0</v>
      </c>
      <c r="AH328" s="105">
        <f t="shared" si="288"/>
        <v>0</v>
      </c>
      <c r="AI328" s="105">
        <f t="shared" si="288"/>
        <v>0</v>
      </c>
      <c r="AJ328" s="105">
        <f t="shared" si="288"/>
        <v>0</v>
      </c>
      <c r="AK328" s="105">
        <f t="shared" si="288"/>
        <v>0</v>
      </c>
      <c r="AL328" s="105">
        <f t="shared" si="288"/>
        <v>0</v>
      </c>
      <c r="AM328" s="105">
        <f t="shared" si="288"/>
        <v>0</v>
      </c>
      <c r="AN328" s="26"/>
      <c r="AO328" s="26"/>
      <c r="AP328" s="26"/>
      <c r="AQ328" s="26"/>
      <c r="AR328" s="26"/>
      <c r="AS328" s="26"/>
      <c r="AT328" s="26"/>
      <c r="AU328" s="26"/>
      <c r="AV328" s="26"/>
      <c r="AW328" s="26"/>
      <c r="AX328" s="26"/>
      <c r="AY328" s="26"/>
      <c r="AZ328" s="26"/>
    </row>
    <row r="329" spans="1:52" s="101" customFormat="1" x14ac:dyDescent="0.5">
      <c r="A329" s="26"/>
      <c r="B329" s="26"/>
      <c r="C329" s="25" t="s">
        <v>148</v>
      </c>
      <c r="D329" s="25" t="s">
        <v>150</v>
      </c>
      <c r="E329" s="26"/>
      <c r="F329" s="26"/>
      <c r="G329" s="26"/>
      <c r="H329" s="157"/>
      <c r="I329" s="26"/>
      <c r="J329" s="105">
        <f t="shared" ref="J329:AM329" si="289">INDEX(dischargeexistingcost,MATCH(J$7,years,0))</f>
        <v>0</v>
      </c>
      <c r="K329" s="105">
        <f t="shared" si="289"/>
        <v>0</v>
      </c>
      <c r="L329" s="105">
        <f t="shared" si="289"/>
        <v>0</v>
      </c>
      <c r="M329" s="105">
        <f t="shared" si="289"/>
        <v>0</v>
      </c>
      <c r="N329" s="105">
        <f t="shared" si="289"/>
        <v>0</v>
      </c>
      <c r="O329" s="105">
        <f t="shared" si="289"/>
        <v>0</v>
      </c>
      <c r="P329" s="105">
        <f t="shared" si="289"/>
        <v>0</v>
      </c>
      <c r="Q329" s="105">
        <f t="shared" si="289"/>
        <v>0</v>
      </c>
      <c r="R329" s="105">
        <f t="shared" si="289"/>
        <v>0</v>
      </c>
      <c r="S329" s="105">
        <f t="shared" si="289"/>
        <v>0</v>
      </c>
      <c r="T329" s="105">
        <f t="shared" si="289"/>
        <v>0</v>
      </c>
      <c r="U329" s="105">
        <f t="shared" si="289"/>
        <v>0</v>
      </c>
      <c r="V329" s="105">
        <f t="shared" si="289"/>
        <v>0</v>
      </c>
      <c r="W329" s="105">
        <f t="shared" si="289"/>
        <v>0</v>
      </c>
      <c r="X329" s="105">
        <f t="shared" si="289"/>
        <v>0</v>
      </c>
      <c r="Y329" s="105">
        <f t="shared" si="289"/>
        <v>0</v>
      </c>
      <c r="Z329" s="105">
        <f t="shared" si="289"/>
        <v>0</v>
      </c>
      <c r="AA329" s="105">
        <f t="shared" si="289"/>
        <v>0</v>
      </c>
      <c r="AB329" s="105">
        <f t="shared" si="289"/>
        <v>0</v>
      </c>
      <c r="AC329" s="105">
        <f t="shared" si="289"/>
        <v>0</v>
      </c>
      <c r="AD329" s="105">
        <f t="shared" si="289"/>
        <v>0</v>
      </c>
      <c r="AE329" s="105">
        <f t="shared" si="289"/>
        <v>0</v>
      </c>
      <c r="AF329" s="105">
        <f t="shared" si="289"/>
        <v>0</v>
      </c>
      <c r="AG329" s="105">
        <f t="shared" si="289"/>
        <v>0</v>
      </c>
      <c r="AH329" s="105">
        <f t="shared" si="289"/>
        <v>0</v>
      </c>
      <c r="AI329" s="105">
        <f t="shared" si="289"/>
        <v>0</v>
      </c>
      <c r="AJ329" s="105">
        <f t="shared" si="289"/>
        <v>0</v>
      </c>
      <c r="AK329" s="105">
        <f t="shared" si="289"/>
        <v>0</v>
      </c>
      <c r="AL329" s="105">
        <f t="shared" si="289"/>
        <v>0</v>
      </c>
      <c r="AM329" s="105">
        <f t="shared" si="289"/>
        <v>0</v>
      </c>
      <c r="AN329" s="26"/>
      <c r="AO329" s="26"/>
      <c r="AP329" s="26"/>
      <c r="AQ329" s="26"/>
      <c r="AR329" s="26"/>
      <c r="AS329" s="26"/>
      <c r="AT329" s="26"/>
      <c r="AU329" s="26"/>
      <c r="AV329" s="26"/>
      <c r="AW329" s="26"/>
      <c r="AX329" s="26"/>
      <c r="AY329" s="26"/>
      <c r="AZ329" s="26"/>
    </row>
    <row r="330" spans="1:52" s="101" customFormat="1" x14ac:dyDescent="0.5">
      <c r="A330" s="26"/>
      <c r="B330" s="26"/>
      <c r="C330" s="26" t="s">
        <v>149</v>
      </c>
      <c r="D330" s="26" t="s">
        <v>150</v>
      </c>
      <c r="E330" s="26"/>
      <c r="F330" s="26"/>
      <c r="G330" s="26"/>
      <c r="H330" s="105">
        <f>J330+NPV(discountrate,K330:AM330)</f>
        <v>0</v>
      </c>
      <c r="I330" s="26"/>
      <c r="J330" s="105">
        <f>J328*J329</f>
        <v>0</v>
      </c>
      <c r="K330" s="105">
        <f t="shared" ref="K330" si="290">K328*K329</f>
        <v>0</v>
      </c>
      <c r="L330" s="105">
        <f t="shared" ref="L330" si="291">L328*L329</f>
        <v>0</v>
      </c>
      <c r="M330" s="105">
        <f t="shared" ref="M330" si="292">M328*M329</f>
        <v>0</v>
      </c>
      <c r="N330" s="105">
        <f t="shared" ref="N330" si="293">N328*N329</f>
        <v>0</v>
      </c>
      <c r="O330" s="105">
        <f t="shared" ref="O330" si="294">O328*O329</f>
        <v>0</v>
      </c>
      <c r="P330" s="105">
        <f t="shared" ref="P330" si="295">P328*P329</f>
        <v>0</v>
      </c>
      <c r="Q330" s="105">
        <f t="shared" ref="Q330" si="296">Q328*Q329</f>
        <v>0</v>
      </c>
      <c r="R330" s="105">
        <f t="shared" ref="R330" si="297">R328*R329</f>
        <v>0</v>
      </c>
      <c r="S330" s="105">
        <f t="shared" ref="S330" si="298">S328*S329</f>
        <v>0</v>
      </c>
      <c r="T330" s="105">
        <f t="shared" ref="T330" si="299">T328*T329</f>
        <v>0</v>
      </c>
      <c r="U330" s="105">
        <f t="shared" ref="U330" si="300">U328*U329</f>
        <v>0</v>
      </c>
      <c r="V330" s="105">
        <f t="shared" ref="V330" si="301">V328*V329</f>
        <v>0</v>
      </c>
      <c r="W330" s="105">
        <f t="shared" ref="W330" si="302">W328*W329</f>
        <v>0</v>
      </c>
      <c r="X330" s="105">
        <f t="shared" ref="X330" si="303">X328*X329</f>
        <v>0</v>
      </c>
      <c r="Y330" s="105">
        <f t="shared" ref="Y330" si="304">Y328*Y329</f>
        <v>0</v>
      </c>
      <c r="Z330" s="105">
        <f t="shared" ref="Z330" si="305">Z328*Z329</f>
        <v>0</v>
      </c>
      <c r="AA330" s="105">
        <f t="shared" ref="AA330" si="306">AA328*AA329</f>
        <v>0</v>
      </c>
      <c r="AB330" s="105">
        <f t="shared" ref="AB330" si="307">AB328*AB329</f>
        <v>0</v>
      </c>
      <c r="AC330" s="105">
        <f t="shared" ref="AC330" si="308">AC328*AC329</f>
        <v>0</v>
      </c>
      <c r="AD330" s="105">
        <f t="shared" ref="AD330" si="309">AD328*AD329</f>
        <v>0</v>
      </c>
      <c r="AE330" s="105">
        <f t="shared" ref="AE330" si="310">AE328*AE329</f>
        <v>0</v>
      </c>
      <c r="AF330" s="105">
        <f t="shared" ref="AF330" si="311">AF328*AF329</f>
        <v>0</v>
      </c>
      <c r="AG330" s="105">
        <f t="shared" ref="AG330" si="312">AG328*AG329</f>
        <v>0</v>
      </c>
      <c r="AH330" s="105">
        <f t="shared" ref="AH330" si="313">AH328*AH329</f>
        <v>0</v>
      </c>
      <c r="AI330" s="105">
        <f t="shared" ref="AI330" si="314">AI328*AI329</f>
        <v>0</v>
      </c>
      <c r="AJ330" s="105">
        <f t="shared" ref="AJ330" si="315">AJ328*AJ329</f>
        <v>0</v>
      </c>
      <c r="AK330" s="105">
        <f t="shared" ref="AK330" si="316">AK328*AK329</f>
        <v>0</v>
      </c>
      <c r="AL330" s="105">
        <f t="shared" ref="AL330" si="317">AL328*AL329</f>
        <v>0</v>
      </c>
      <c r="AM330" s="105">
        <f t="shared" ref="AM330" si="318">AM328*AM329</f>
        <v>0</v>
      </c>
      <c r="AN330" s="26"/>
      <c r="AO330" s="26"/>
      <c r="AP330" s="26"/>
      <c r="AQ330" s="26"/>
      <c r="AR330" s="26"/>
      <c r="AS330" s="26"/>
      <c r="AT330" s="26"/>
      <c r="AU330" s="26"/>
      <c r="AV330" s="26"/>
      <c r="AW330" s="26"/>
      <c r="AX330" s="26"/>
      <c r="AY330" s="26"/>
      <c r="AZ330" s="26"/>
    </row>
    <row r="331" spans="1:52" x14ac:dyDescent="0.5">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row>
    <row r="332" spans="1:52" x14ac:dyDescent="0.5">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row>
  </sheetData>
  <phoneticPr fontId="4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DD9EE-A1CC-4182-9931-B8C2DEE0F12E}">
  <sheetPr>
    <tabColor theme="4"/>
  </sheetPr>
  <dimension ref="A1:AZ35"/>
  <sheetViews>
    <sheetView showGridLines="0" topLeftCell="T1" zoomScale="68" zoomScaleNormal="68" workbookViewId="0">
      <selection activeCell="AS53" sqref="AS53"/>
    </sheetView>
  </sheetViews>
  <sheetFormatPr defaultColWidth="9.23046875" defaultRowHeight="16" x14ac:dyDescent="0.45"/>
  <cols>
    <col min="1" max="2" width="6.69140625" style="67" customWidth="1"/>
    <col min="3" max="3" width="50.3046875" style="67" customWidth="1"/>
    <col min="4" max="4" width="6.69140625" style="67" customWidth="1"/>
    <col min="5" max="5" width="16" style="67" customWidth="1"/>
    <col min="6" max="6" width="10.3046875" style="67" customWidth="1"/>
    <col min="7" max="7" width="7.69140625" style="67" customWidth="1"/>
    <col min="8" max="8" width="17.69140625" style="67" bestFit="1" customWidth="1"/>
    <col min="9" max="9" width="7.07421875" style="67" customWidth="1"/>
    <col min="10" max="10" width="17" style="67" customWidth="1"/>
    <col min="11" max="11" width="16.69140625" style="67" customWidth="1"/>
    <col min="12" max="12" width="13.765625" style="67" customWidth="1"/>
    <col min="13" max="13" width="13.23046875" style="67" customWidth="1"/>
    <col min="14" max="14" width="15.23046875" style="67" customWidth="1"/>
    <col min="15" max="15" width="12.69140625" style="67" customWidth="1"/>
    <col min="16" max="16" width="19.23046875" style="67" customWidth="1"/>
    <col min="17" max="17" width="15.69140625" style="67" customWidth="1"/>
    <col min="18" max="18" width="17.23046875" style="67" customWidth="1"/>
    <col min="19" max="19" width="15.69140625" style="67" customWidth="1"/>
    <col min="20" max="20" width="16" style="67" customWidth="1"/>
    <col min="21" max="40" width="12.3046875" style="67" bestFit="1" customWidth="1"/>
    <col min="41" max="16384" width="9.23046875" style="67"/>
  </cols>
  <sheetData>
    <row r="1" spans="1:52" s="21" customFormat="1" ht="35.25" customHeight="1" x14ac:dyDescent="0.5">
      <c r="A1" s="17"/>
      <c r="B1" s="133" t="s">
        <v>158</v>
      </c>
      <c r="C1" s="18"/>
      <c r="D1" s="18"/>
      <c r="E1" s="18"/>
      <c r="F1" s="18"/>
      <c r="G1" s="18"/>
      <c r="H1" s="18"/>
      <c r="I1" s="18"/>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row>
    <row r="2" spans="1:52" s="21" customFormat="1" ht="26.25" customHeight="1" x14ac:dyDescent="0.5">
      <c r="A2" s="22"/>
      <c r="B2" s="23" t="s">
        <v>16</v>
      </c>
      <c r="C2" s="23"/>
      <c r="D2" s="23"/>
      <c r="E2" s="23"/>
      <c r="F2" s="23"/>
      <c r="G2" s="23"/>
      <c r="H2" s="23"/>
      <c r="I2" s="23"/>
      <c r="J2" s="22"/>
      <c r="K2" s="22"/>
      <c r="L2" s="22"/>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row>
    <row r="8" spans="1:52" s="21" customFormat="1" ht="32" thickBot="1" x14ac:dyDescent="0.9">
      <c r="A8" s="24"/>
      <c r="B8" s="199" t="s">
        <v>23</v>
      </c>
      <c r="C8" s="199"/>
      <c r="D8" s="199"/>
      <c r="E8" s="199" t="s">
        <v>54</v>
      </c>
      <c r="F8" s="199" t="s">
        <v>55</v>
      </c>
      <c r="G8" s="199"/>
      <c r="H8" s="199" t="s">
        <v>40</v>
      </c>
      <c r="I8" s="200"/>
      <c r="J8" s="199" t="s">
        <v>58</v>
      </c>
      <c r="K8" s="199" t="s">
        <v>59</v>
      </c>
      <c r="L8" s="199" t="s">
        <v>60</v>
      </c>
      <c r="M8" s="199" t="s">
        <v>61</v>
      </c>
      <c r="N8" s="199" t="s">
        <v>62</v>
      </c>
      <c r="O8" s="199" t="s">
        <v>63</v>
      </c>
      <c r="P8" s="199" t="s">
        <v>64</v>
      </c>
      <c r="Q8" s="199" t="s">
        <v>65</v>
      </c>
      <c r="R8" s="199" t="s">
        <v>66</v>
      </c>
      <c r="S8" s="199" t="s">
        <v>67</v>
      </c>
      <c r="T8" s="199" t="s">
        <v>68</v>
      </c>
      <c r="U8" s="199" t="s">
        <v>69</v>
      </c>
      <c r="V8" s="199" t="s">
        <v>70</v>
      </c>
      <c r="W8" s="199" t="s">
        <v>71</v>
      </c>
      <c r="X8" s="199" t="s">
        <v>72</v>
      </c>
      <c r="Y8" s="199" t="s">
        <v>73</v>
      </c>
      <c r="Z8" s="199" t="s">
        <v>74</v>
      </c>
      <c r="AA8" s="199" t="s">
        <v>75</v>
      </c>
      <c r="AB8" s="199" t="s">
        <v>76</v>
      </c>
      <c r="AC8" s="199" t="s">
        <v>77</v>
      </c>
      <c r="AD8" s="199" t="s">
        <v>78</v>
      </c>
      <c r="AE8" s="199" t="s">
        <v>79</v>
      </c>
      <c r="AF8" s="199" t="s">
        <v>80</v>
      </c>
      <c r="AG8" s="199" t="s">
        <v>81</v>
      </c>
      <c r="AH8" s="199" t="s">
        <v>82</v>
      </c>
      <c r="AI8" s="199" t="s">
        <v>83</v>
      </c>
      <c r="AJ8" s="199" t="s">
        <v>84</v>
      </c>
      <c r="AK8" s="199" t="s">
        <v>85</v>
      </c>
      <c r="AL8" s="199" t="s">
        <v>86</v>
      </c>
      <c r="AM8" s="199" t="s">
        <v>87</v>
      </c>
      <c r="AN8" s="199" t="s">
        <v>88</v>
      </c>
      <c r="AO8" s="213"/>
      <c r="AP8" s="214"/>
      <c r="AQ8" s="214"/>
      <c r="AR8" s="214"/>
      <c r="AS8" s="214"/>
      <c r="AT8" s="214"/>
      <c r="AU8" s="214"/>
      <c r="AV8" s="214"/>
      <c r="AW8" s="214"/>
      <c r="AX8" s="214"/>
      <c r="AY8" s="214"/>
      <c r="AZ8" s="214"/>
    </row>
    <row r="9" spans="1:52" s="88" customFormat="1" ht="18" x14ac:dyDescent="0.5">
      <c r="A9" s="67"/>
      <c r="B9" s="67"/>
      <c r="J9" s="88">
        <v>0</v>
      </c>
      <c r="K9" s="88">
        <f t="shared" ref="K9:AN9" si="0">J9+1</f>
        <v>1</v>
      </c>
      <c r="L9" s="88">
        <f t="shared" si="0"/>
        <v>2</v>
      </c>
      <c r="M9" s="88">
        <f t="shared" si="0"/>
        <v>3</v>
      </c>
      <c r="N9" s="88">
        <f t="shared" si="0"/>
        <v>4</v>
      </c>
      <c r="O9" s="88">
        <f t="shared" si="0"/>
        <v>5</v>
      </c>
      <c r="P9" s="88">
        <f t="shared" si="0"/>
        <v>6</v>
      </c>
      <c r="Q9" s="88">
        <f t="shared" si="0"/>
        <v>7</v>
      </c>
      <c r="R9" s="88">
        <f t="shared" si="0"/>
        <v>8</v>
      </c>
      <c r="S9" s="88">
        <f t="shared" si="0"/>
        <v>9</v>
      </c>
      <c r="T9" s="88">
        <f t="shared" si="0"/>
        <v>10</v>
      </c>
      <c r="U9" s="88">
        <f t="shared" si="0"/>
        <v>11</v>
      </c>
      <c r="V9" s="88">
        <f t="shared" si="0"/>
        <v>12</v>
      </c>
      <c r="W9" s="88">
        <f t="shared" si="0"/>
        <v>13</v>
      </c>
      <c r="X9" s="88">
        <f t="shared" si="0"/>
        <v>14</v>
      </c>
      <c r="Y9" s="88">
        <f t="shared" si="0"/>
        <v>15</v>
      </c>
      <c r="Z9" s="88">
        <f t="shared" si="0"/>
        <v>16</v>
      </c>
      <c r="AA9" s="88">
        <f t="shared" si="0"/>
        <v>17</v>
      </c>
      <c r="AB9" s="88">
        <f t="shared" si="0"/>
        <v>18</v>
      </c>
      <c r="AC9" s="88">
        <f t="shared" si="0"/>
        <v>19</v>
      </c>
      <c r="AD9" s="88">
        <f t="shared" si="0"/>
        <v>20</v>
      </c>
      <c r="AE9" s="88">
        <f t="shared" si="0"/>
        <v>21</v>
      </c>
      <c r="AF9" s="88">
        <f t="shared" si="0"/>
        <v>22</v>
      </c>
      <c r="AG9" s="88">
        <f t="shared" si="0"/>
        <v>23</v>
      </c>
      <c r="AH9" s="88">
        <f t="shared" si="0"/>
        <v>24</v>
      </c>
      <c r="AI9" s="88">
        <f t="shared" si="0"/>
        <v>25</v>
      </c>
      <c r="AJ9" s="88">
        <f t="shared" si="0"/>
        <v>26</v>
      </c>
      <c r="AK9" s="88">
        <f t="shared" si="0"/>
        <v>27</v>
      </c>
      <c r="AL9" s="88">
        <f t="shared" si="0"/>
        <v>28</v>
      </c>
      <c r="AM9" s="88">
        <f t="shared" si="0"/>
        <v>29</v>
      </c>
      <c r="AN9" s="88">
        <f t="shared" si="0"/>
        <v>30</v>
      </c>
    </row>
    <row r="11" spans="1:52" s="68" customFormat="1" ht="22" x14ac:dyDescent="0.6">
      <c r="B11" s="68" t="s">
        <v>105</v>
      </c>
    </row>
    <row r="12" spans="1:52" s="68" customFormat="1" ht="22" x14ac:dyDescent="0.6"/>
    <row r="13" spans="1:52" s="21" customFormat="1" ht="18" x14ac:dyDescent="0.5">
      <c r="C13" s="21" t="str" cm="1">
        <f t="array" ref="C13:C15">assetnames</f>
        <v>Network upgrade name</v>
      </c>
      <c r="E13" s="134">
        <f>INDEX(leadtimes,MATCH($C13,assetnames,0),1)</f>
        <v>0</v>
      </c>
      <c r="F13" s="134">
        <f>INDEX(assetlives,MATCH($C13,assetnames,0),1)</f>
        <v>0</v>
      </c>
      <c r="H13" s="135" t="str">
        <f>baseyear</f>
        <v>FY$24</v>
      </c>
      <c r="J13" s="132">
        <f>INDEX(baselinecapex,MATCH($C13,assetnames,0),MATCH(J$8,tplus,0))*(1+costsensitivity)</f>
        <v>0</v>
      </c>
      <c r="K13" s="132">
        <f t="shared" ref="J13:S15" si="1">INDEX(baselinecapex,MATCH($C13,assetnames,0),MATCH(K$8,tplus,0))*(1+costsensitivity)</f>
        <v>0</v>
      </c>
      <c r="L13" s="132">
        <f t="shared" si="1"/>
        <v>0</v>
      </c>
      <c r="M13" s="132">
        <f t="shared" si="1"/>
        <v>0</v>
      </c>
      <c r="N13" s="132">
        <f t="shared" si="1"/>
        <v>0</v>
      </c>
      <c r="O13" s="132">
        <f t="shared" si="1"/>
        <v>0</v>
      </c>
      <c r="P13" s="132">
        <f t="shared" si="1"/>
        <v>0</v>
      </c>
      <c r="Q13" s="132">
        <f t="shared" si="1"/>
        <v>0</v>
      </c>
      <c r="R13" s="132">
        <f t="shared" si="1"/>
        <v>0</v>
      </c>
      <c r="S13" s="132">
        <f t="shared" si="1"/>
        <v>0</v>
      </c>
      <c r="T13" s="132">
        <f t="shared" ref="T13:AC15" si="2">INDEX(baselinecapex,MATCH($C13,assetnames,0),MATCH(T$8,tplus,0))*(1+costsensitivity)</f>
        <v>0</v>
      </c>
      <c r="U13" s="132">
        <f t="shared" si="2"/>
        <v>0</v>
      </c>
      <c r="V13" s="132">
        <f t="shared" si="2"/>
        <v>0</v>
      </c>
      <c r="W13" s="132">
        <f t="shared" si="2"/>
        <v>0</v>
      </c>
      <c r="X13" s="132">
        <f t="shared" si="2"/>
        <v>0</v>
      </c>
      <c r="Y13" s="132">
        <f t="shared" si="2"/>
        <v>0</v>
      </c>
      <c r="Z13" s="132">
        <f t="shared" si="2"/>
        <v>0</v>
      </c>
      <c r="AA13" s="132">
        <f t="shared" si="2"/>
        <v>0</v>
      </c>
      <c r="AB13" s="132">
        <f t="shared" si="2"/>
        <v>0</v>
      </c>
      <c r="AC13" s="132">
        <f t="shared" si="2"/>
        <v>0</v>
      </c>
      <c r="AD13" s="132">
        <f t="shared" ref="AD13:AN15" si="3">INDEX(baselinecapex,MATCH($C13,assetnames,0),MATCH(AD$8,tplus,0))*(1+costsensitivity)</f>
        <v>0</v>
      </c>
      <c r="AE13" s="132">
        <f t="shared" si="3"/>
        <v>0</v>
      </c>
      <c r="AF13" s="132">
        <f t="shared" si="3"/>
        <v>0</v>
      </c>
      <c r="AG13" s="132">
        <f t="shared" si="3"/>
        <v>0</v>
      </c>
      <c r="AH13" s="132">
        <f t="shared" si="3"/>
        <v>0</v>
      </c>
      <c r="AI13" s="132">
        <f t="shared" si="3"/>
        <v>0</v>
      </c>
      <c r="AJ13" s="132">
        <f t="shared" si="3"/>
        <v>0</v>
      </c>
      <c r="AK13" s="132">
        <f t="shared" si="3"/>
        <v>0</v>
      </c>
      <c r="AL13" s="132">
        <f t="shared" si="3"/>
        <v>0</v>
      </c>
      <c r="AM13" s="132">
        <f t="shared" si="3"/>
        <v>0</v>
      </c>
      <c r="AN13" s="132">
        <f t="shared" si="3"/>
        <v>0</v>
      </c>
    </row>
    <row r="14" spans="1:52" s="21" customFormat="1" ht="18" x14ac:dyDescent="0.5">
      <c r="C14" s="21" t="str">
        <v>Sewerage treatment plant upgrade name</v>
      </c>
      <c r="E14" s="134">
        <f>INDEX(leadtimes,MATCH($C14,assetnames,0),1)</f>
        <v>0</v>
      </c>
      <c r="F14" s="134">
        <f>INDEX(assetlives,MATCH($C14,assetnames,0),1)</f>
        <v>0</v>
      </c>
      <c r="H14" s="135" t="str">
        <f>baseyear</f>
        <v>FY$24</v>
      </c>
      <c r="J14" s="132">
        <f t="shared" si="1"/>
        <v>0</v>
      </c>
      <c r="K14" s="132">
        <f t="shared" si="1"/>
        <v>0</v>
      </c>
      <c r="L14" s="132">
        <f t="shared" si="1"/>
        <v>0</v>
      </c>
      <c r="M14" s="132">
        <f t="shared" si="1"/>
        <v>0</v>
      </c>
      <c r="N14" s="132">
        <f t="shared" si="1"/>
        <v>0</v>
      </c>
      <c r="O14" s="132">
        <f t="shared" si="1"/>
        <v>0</v>
      </c>
      <c r="P14" s="132">
        <f t="shared" si="1"/>
        <v>0</v>
      </c>
      <c r="Q14" s="132">
        <f t="shared" si="1"/>
        <v>0</v>
      </c>
      <c r="R14" s="132">
        <f t="shared" si="1"/>
        <v>0</v>
      </c>
      <c r="S14" s="132">
        <f t="shared" si="1"/>
        <v>0</v>
      </c>
      <c r="T14" s="132">
        <f t="shared" si="2"/>
        <v>0</v>
      </c>
      <c r="U14" s="132">
        <f t="shared" si="2"/>
        <v>0</v>
      </c>
      <c r="V14" s="132">
        <f t="shared" si="2"/>
        <v>0</v>
      </c>
      <c r="W14" s="132">
        <f t="shared" si="2"/>
        <v>0</v>
      </c>
      <c r="X14" s="132">
        <f t="shared" si="2"/>
        <v>0</v>
      </c>
      <c r="Y14" s="132">
        <f t="shared" si="2"/>
        <v>0</v>
      </c>
      <c r="Z14" s="132">
        <f t="shared" si="2"/>
        <v>0</v>
      </c>
      <c r="AA14" s="132">
        <f t="shared" si="2"/>
        <v>0</v>
      </c>
      <c r="AB14" s="132">
        <f t="shared" si="2"/>
        <v>0</v>
      </c>
      <c r="AC14" s="132">
        <f t="shared" si="2"/>
        <v>0</v>
      </c>
      <c r="AD14" s="132">
        <f t="shared" si="3"/>
        <v>0</v>
      </c>
      <c r="AE14" s="132">
        <f t="shared" si="3"/>
        <v>0</v>
      </c>
      <c r="AF14" s="132">
        <f t="shared" si="3"/>
        <v>0</v>
      </c>
      <c r="AG14" s="132">
        <f t="shared" si="3"/>
        <v>0</v>
      </c>
      <c r="AH14" s="132">
        <f t="shared" si="3"/>
        <v>0</v>
      </c>
      <c r="AI14" s="132">
        <f t="shared" si="3"/>
        <v>0</v>
      </c>
      <c r="AJ14" s="132">
        <f t="shared" si="3"/>
        <v>0</v>
      </c>
      <c r="AK14" s="132">
        <f t="shared" si="3"/>
        <v>0</v>
      </c>
      <c r="AL14" s="132">
        <f t="shared" si="3"/>
        <v>0</v>
      </c>
      <c r="AM14" s="132">
        <f t="shared" si="3"/>
        <v>0</v>
      </c>
      <c r="AN14" s="132">
        <f t="shared" si="3"/>
        <v>0</v>
      </c>
    </row>
    <row r="15" spans="1:52" s="21" customFormat="1" ht="18" x14ac:dyDescent="0.5">
      <c r="C15" s="21" t="str">
        <v>Discharge / ocean outfall upgrade name</v>
      </c>
      <c r="E15" s="134">
        <f>INDEX(leadtimes,MATCH($C15,assetnames,0),1)</f>
        <v>0</v>
      </c>
      <c r="F15" s="134">
        <f>INDEX(assetlives,MATCH($C15,assetnames,0),1)</f>
        <v>0</v>
      </c>
      <c r="H15" s="135" t="str">
        <f>baseyear</f>
        <v>FY$24</v>
      </c>
      <c r="J15" s="132">
        <f t="shared" si="1"/>
        <v>0</v>
      </c>
      <c r="K15" s="132">
        <f t="shared" si="1"/>
        <v>0</v>
      </c>
      <c r="L15" s="132">
        <f t="shared" si="1"/>
        <v>0</v>
      </c>
      <c r="M15" s="132">
        <f t="shared" si="1"/>
        <v>0</v>
      </c>
      <c r="N15" s="132">
        <f t="shared" si="1"/>
        <v>0</v>
      </c>
      <c r="O15" s="132">
        <f t="shared" si="1"/>
        <v>0</v>
      </c>
      <c r="P15" s="132">
        <f t="shared" si="1"/>
        <v>0</v>
      </c>
      <c r="Q15" s="132">
        <f t="shared" si="1"/>
        <v>0</v>
      </c>
      <c r="R15" s="132">
        <f t="shared" si="1"/>
        <v>0</v>
      </c>
      <c r="S15" s="132">
        <f t="shared" si="1"/>
        <v>0</v>
      </c>
      <c r="T15" s="132">
        <f t="shared" si="2"/>
        <v>0</v>
      </c>
      <c r="U15" s="132">
        <f t="shared" si="2"/>
        <v>0</v>
      </c>
      <c r="V15" s="132">
        <f t="shared" si="2"/>
        <v>0</v>
      </c>
      <c r="W15" s="132">
        <f t="shared" si="2"/>
        <v>0</v>
      </c>
      <c r="X15" s="132">
        <f t="shared" si="2"/>
        <v>0</v>
      </c>
      <c r="Y15" s="132">
        <f t="shared" si="2"/>
        <v>0</v>
      </c>
      <c r="Z15" s="132">
        <f t="shared" si="2"/>
        <v>0</v>
      </c>
      <c r="AA15" s="132">
        <f t="shared" si="2"/>
        <v>0</v>
      </c>
      <c r="AB15" s="132">
        <f t="shared" si="2"/>
        <v>0</v>
      </c>
      <c r="AC15" s="132">
        <f t="shared" si="2"/>
        <v>0</v>
      </c>
      <c r="AD15" s="132">
        <f t="shared" si="3"/>
        <v>0</v>
      </c>
      <c r="AE15" s="132">
        <f t="shared" si="3"/>
        <v>0</v>
      </c>
      <c r="AF15" s="132">
        <f t="shared" si="3"/>
        <v>0</v>
      </c>
      <c r="AG15" s="132">
        <f t="shared" si="3"/>
        <v>0</v>
      </c>
      <c r="AH15" s="132">
        <f t="shared" si="3"/>
        <v>0</v>
      </c>
      <c r="AI15" s="132">
        <f t="shared" si="3"/>
        <v>0</v>
      </c>
      <c r="AJ15" s="132">
        <f t="shared" si="3"/>
        <v>0</v>
      </c>
      <c r="AK15" s="132">
        <f t="shared" si="3"/>
        <v>0</v>
      </c>
      <c r="AL15" s="132">
        <f t="shared" si="3"/>
        <v>0</v>
      </c>
      <c r="AM15" s="132">
        <f t="shared" si="3"/>
        <v>0</v>
      </c>
      <c r="AN15" s="132">
        <f t="shared" si="3"/>
        <v>0</v>
      </c>
    </row>
    <row r="16" spans="1:52" s="21" customFormat="1" ht="18" x14ac:dyDescent="0.5">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c r="AN16" s="89"/>
    </row>
    <row r="17" spans="1:52" s="68" customFormat="1" ht="22" x14ac:dyDescent="0.6">
      <c r="B17" s="68" t="s">
        <v>106</v>
      </c>
    </row>
    <row r="18" spans="1:52" s="68" customFormat="1" ht="22" x14ac:dyDescent="0.6"/>
    <row r="19" spans="1:52" s="21" customFormat="1" ht="18" x14ac:dyDescent="0.5">
      <c r="C19" s="21" t="str" cm="1">
        <f t="array" ref="C19:C21">assetnames</f>
        <v>Network upgrade name</v>
      </c>
      <c r="H19" s="135" t="str">
        <f>baseyear</f>
        <v>FY$24</v>
      </c>
      <c r="J19" s="132">
        <f>IFERROR(PMT(discountrate,$E13+$F13-J$9,-J13,0,1), 0)</f>
        <v>0</v>
      </c>
      <c r="K19" s="132">
        <f t="shared" ref="K19:AN19" si="4">IFERROR(PMT(discountrate,$E13+$F13-K$9,-K13,0,1), 0)</f>
        <v>0</v>
      </c>
      <c r="L19" s="132">
        <f t="shared" si="4"/>
        <v>0</v>
      </c>
      <c r="M19" s="132">
        <f t="shared" si="4"/>
        <v>0</v>
      </c>
      <c r="N19" s="132">
        <f t="shared" si="4"/>
        <v>0</v>
      </c>
      <c r="O19" s="132">
        <f t="shared" si="4"/>
        <v>0</v>
      </c>
      <c r="P19" s="132">
        <f t="shared" si="4"/>
        <v>0</v>
      </c>
      <c r="Q19" s="132">
        <f t="shared" si="4"/>
        <v>0</v>
      </c>
      <c r="R19" s="132">
        <f t="shared" si="4"/>
        <v>0</v>
      </c>
      <c r="S19" s="132">
        <f t="shared" si="4"/>
        <v>0</v>
      </c>
      <c r="T19" s="132">
        <f t="shared" si="4"/>
        <v>0</v>
      </c>
      <c r="U19" s="132">
        <f t="shared" si="4"/>
        <v>0</v>
      </c>
      <c r="V19" s="132">
        <f t="shared" si="4"/>
        <v>0</v>
      </c>
      <c r="W19" s="132">
        <f t="shared" si="4"/>
        <v>0</v>
      </c>
      <c r="X19" s="132">
        <f t="shared" si="4"/>
        <v>0</v>
      </c>
      <c r="Y19" s="132">
        <f t="shared" si="4"/>
        <v>0</v>
      </c>
      <c r="Z19" s="132">
        <f t="shared" si="4"/>
        <v>0</v>
      </c>
      <c r="AA19" s="132">
        <f t="shared" si="4"/>
        <v>0</v>
      </c>
      <c r="AB19" s="132">
        <f t="shared" si="4"/>
        <v>0</v>
      </c>
      <c r="AC19" s="132">
        <f t="shared" si="4"/>
        <v>0</v>
      </c>
      <c r="AD19" s="132">
        <f t="shared" si="4"/>
        <v>0</v>
      </c>
      <c r="AE19" s="132">
        <f t="shared" si="4"/>
        <v>0</v>
      </c>
      <c r="AF19" s="132">
        <f t="shared" si="4"/>
        <v>0</v>
      </c>
      <c r="AG19" s="132">
        <f t="shared" si="4"/>
        <v>0</v>
      </c>
      <c r="AH19" s="132">
        <f t="shared" si="4"/>
        <v>0</v>
      </c>
      <c r="AI19" s="132">
        <f t="shared" si="4"/>
        <v>0</v>
      </c>
      <c r="AJ19" s="132">
        <f t="shared" si="4"/>
        <v>0</v>
      </c>
      <c r="AK19" s="132">
        <f t="shared" si="4"/>
        <v>0</v>
      </c>
      <c r="AL19" s="132">
        <f t="shared" si="4"/>
        <v>0</v>
      </c>
      <c r="AM19" s="132">
        <f t="shared" si="4"/>
        <v>0</v>
      </c>
      <c r="AN19" s="132">
        <f t="shared" si="4"/>
        <v>0</v>
      </c>
    </row>
    <row r="20" spans="1:52" s="21" customFormat="1" ht="18" x14ac:dyDescent="0.5">
      <c r="C20" s="21" t="str">
        <v>Sewerage treatment plant upgrade name</v>
      </c>
      <c r="H20" s="135" t="str">
        <f>baseyear</f>
        <v>FY$24</v>
      </c>
      <c r="J20" s="132">
        <f t="shared" ref="J20:AN20" si="5">IFERROR(PMT(discountrate,$E14+$F14-J$9,-J14,0,1), 0)</f>
        <v>0</v>
      </c>
      <c r="K20" s="132">
        <f t="shared" si="5"/>
        <v>0</v>
      </c>
      <c r="L20" s="132">
        <f t="shared" si="5"/>
        <v>0</v>
      </c>
      <c r="M20" s="132">
        <f t="shared" si="5"/>
        <v>0</v>
      </c>
      <c r="N20" s="132">
        <f t="shared" si="5"/>
        <v>0</v>
      </c>
      <c r="O20" s="132">
        <f t="shared" si="5"/>
        <v>0</v>
      </c>
      <c r="P20" s="132">
        <f t="shared" si="5"/>
        <v>0</v>
      </c>
      <c r="Q20" s="132">
        <f t="shared" si="5"/>
        <v>0</v>
      </c>
      <c r="R20" s="132">
        <f t="shared" si="5"/>
        <v>0</v>
      </c>
      <c r="S20" s="132">
        <f t="shared" si="5"/>
        <v>0</v>
      </c>
      <c r="T20" s="132">
        <f t="shared" si="5"/>
        <v>0</v>
      </c>
      <c r="U20" s="132">
        <f t="shared" si="5"/>
        <v>0</v>
      </c>
      <c r="V20" s="132">
        <f t="shared" si="5"/>
        <v>0</v>
      </c>
      <c r="W20" s="132">
        <f t="shared" si="5"/>
        <v>0</v>
      </c>
      <c r="X20" s="132">
        <f t="shared" si="5"/>
        <v>0</v>
      </c>
      <c r="Y20" s="132">
        <f t="shared" si="5"/>
        <v>0</v>
      </c>
      <c r="Z20" s="132">
        <f t="shared" si="5"/>
        <v>0</v>
      </c>
      <c r="AA20" s="132">
        <f t="shared" si="5"/>
        <v>0</v>
      </c>
      <c r="AB20" s="132">
        <f t="shared" si="5"/>
        <v>0</v>
      </c>
      <c r="AC20" s="132">
        <f t="shared" si="5"/>
        <v>0</v>
      </c>
      <c r="AD20" s="132">
        <f t="shared" si="5"/>
        <v>0</v>
      </c>
      <c r="AE20" s="132">
        <f t="shared" si="5"/>
        <v>0</v>
      </c>
      <c r="AF20" s="132">
        <f t="shared" si="5"/>
        <v>0</v>
      </c>
      <c r="AG20" s="132">
        <f t="shared" si="5"/>
        <v>0</v>
      </c>
      <c r="AH20" s="132">
        <f t="shared" si="5"/>
        <v>0</v>
      </c>
      <c r="AI20" s="132">
        <f t="shared" si="5"/>
        <v>0</v>
      </c>
      <c r="AJ20" s="132">
        <f t="shared" si="5"/>
        <v>0</v>
      </c>
      <c r="AK20" s="132">
        <f t="shared" si="5"/>
        <v>0</v>
      </c>
      <c r="AL20" s="132">
        <f t="shared" si="5"/>
        <v>0</v>
      </c>
      <c r="AM20" s="132">
        <f t="shared" si="5"/>
        <v>0</v>
      </c>
      <c r="AN20" s="132">
        <f t="shared" si="5"/>
        <v>0</v>
      </c>
    </row>
    <row r="21" spans="1:52" s="21" customFormat="1" ht="18" x14ac:dyDescent="0.5">
      <c r="C21" s="21" t="str">
        <v>Discharge / ocean outfall upgrade name</v>
      </c>
      <c r="H21" s="135" t="str">
        <f>baseyear</f>
        <v>FY$24</v>
      </c>
      <c r="J21" s="132">
        <f t="shared" ref="J21:AN21" si="6">IFERROR(PMT(discountrate,$E15+$F15-J$9,-J15,0,1), 0)</f>
        <v>0</v>
      </c>
      <c r="K21" s="132">
        <f t="shared" si="6"/>
        <v>0</v>
      </c>
      <c r="L21" s="132">
        <f t="shared" si="6"/>
        <v>0</v>
      </c>
      <c r="M21" s="132">
        <f t="shared" si="6"/>
        <v>0</v>
      </c>
      <c r="N21" s="132">
        <f t="shared" si="6"/>
        <v>0</v>
      </c>
      <c r="O21" s="132">
        <f t="shared" si="6"/>
        <v>0</v>
      </c>
      <c r="P21" s="132">
        <f t="shared" si="6"/>
        <v>0</v>
      </c>
      <c r="Q21" s="132">
        <f t="shared" si="6"/>
        <v>0</v>
      </c>
      <c r="R21" s="132">
        <f t="shared" si="6"/>
        <v>0</v>
      </c>
      <c r="S21" s="132">
        <f t="shared" si="6"/>
        <v>0</v>
      </c>
      <c r="T21" s="132">
        <f t="shared" si="6"/>
        <v>0</v>
      </c>
      <c r="U21" s="132">
        <f t="shared" si="6"/>
        <v>0</v>
      </c>
      <c r="V21" s="132">
        <f t="shared" si="6"/>
        <v>0</v>
      </c>
      <c r="W21" s="132">
        <f t="shared" si="6"/>
        <v>0</v>
      </c>
      <c r="X21" s="132">
        <f t="shared" si="6"/>
        <v>0</v>
      </c>
      <c r="Y21" s="132">
        <f t="shared" si="6"/>
        <v>0</v>
      </c>
      <c r="Z21" s="132">
        <f t="shared" si="6"/>
        <v>0</v>
      </c>
      <c r="AA21" s="132">
        <f t="shared" si="6"/>
        <v>0</v>
      </c>
      <c r="AB21" s="132">
        <f t="shared" si="6"/>
        <v>0</v>
      </c>
      <c r="AC21" s="132">
        <f t="shared" si="6"/>
        <v>0</v>
      </c>
      <c r="AD21" s="132">
        <f t="shared" si="6"/>
        <v>0</v>
      </c>
      <c r="AE21" s="132">
        <f t="shared" si="6"/>
        <v>0</v>
      </c>
      <c r="AF21" s="132">
        <f t="shared" si="6"/>
        <v>0</v>
      </c>
      <c r="AG21" s="132">
        <f t="shared" si="6"/>
        <v>0</v>
      </c>
      <c r="AH21" s="132">
        <f t="shared" si="6"/>
        <v>0</v>
      </c>
      <c r="AI21" s="132">
        <f t="shared" si="6"/>
        <v>0</v>
      </c>
      <c r="AJ21" s="132">
        <f t="shared" si="6"/>
        <v>0</v>
      </c>
      <c r="AK21" s="132">
        <f t="shared" si="6"/>
        <v>0</v>
      </c>
      <c r="AL21" s="132">
        <f t="shared" si="6"/>
        <v>0</v>
      </c>
      <c r="AM21" s="132">
        <f t="shared" si="6"/>
        <v>0</v>
      </c>
      <c r="AN21" s="132">
        <f t="shared" si="6"/>
        <v>0</v>
      </c>
    </row>
    <row r="22" spans="1:52" s="21" customFormat="1" ht="18" x14ac:dyDescent="0.5">
      <c r="J22" s="90"/>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row>
    <row r="23" spans="1:52" s="68" customFormat="1" ht="22" x14ac:dyDescent="0.6">
      <c r="B23" s="68" t="s">
        <v>132</v>
      </c>
    </row>
    <row r="24" spans="1:52" s="68" customFormat="1" ht="22" x14ac:dyDescent="0.6"/>
    <row r="25" spans="1:52" s="21" customFormat="1" ht="18" x14ac:dyDescent="0.5">
      <c r="C25" s="21" t="str" cm="1">
        <f t="array" ref="C25:C27">assetnames</f>
        <v>Network upgrade name</v>
      </c>
      <c r="G25" s="52" t="s">
        <v>107</v>
      </c>
      <c r="H25" s="135" t="str">
        <f>baseyear</f>
        <v>FY$24</v>
      </c>
      <c r="J25" s="132">
        <f>IF(J$9&lt;$E13+$F13,SUM($J19:J19),0)</f>
        <v>0</v>
      </c>
      <c r="K25" s="132">
        <f>IF(K$9&lt;$E13+$F13,SUM($J19:K19),0)</f>
        <v>0</v>
      </c>
      <c r="L25" s="132">
        <f>IF(L$9&lt;$E13+$F13,SUM($J19:L19),0)</f>
        <v>0</v>
      </c>
      <c r="M25" s="132">
        <f>IF(M$9&lt;$E13+$F13,SUM($J19:M19),0)</f>
        <v>0</v>
      </c>
      <c r="N25" s="132">
        <f>IF(N$9&lt;$E13+$F13,SUM($J19:N19),0)</f>
        <v>0</v>
      </c>
      <c r="O25" s="132">
        <f>IF(O$9&lt;$E13+$F13,SUM($J19:O19),0)</f>
        <v>0</v>
      </c>
      <c r="P25" s="132">
        <f>IF(P$9&lt;$E13+$F13,SUM($J19:P19),0)</f>
        <v>0</v>
      </c>
      <c r="Q25" s="132">
        <f>IF(Q$9&lt;$E13+$F13,SUM($J19:Q19),0)</f>
        <v>0</v>
      </c>
      <c r="R25" s="132">
        <f>IF(R$9&lt;$E13+$F13,SUM($J19:R19),0)</f>
        <v>0</v>
      </c>
      <c r="S25" s="132">
        <f>IF(S$9&lt;$E13+$F13,SUM($J19:S19),0)</f>
        <v>0</v>
      </c>
      <c r="T25" s="132">
        <f>IF(T$9&lt;$E13+$F13,SUM($J19:T19),0)</f>
        <v>0</v>
      </c>
      <c r="U25" s="132">
        <f>IF(U$9&lt;$E13+$F13,SUM($J19:U19),0)</f>
        <v>0</v>
      </c>
      <c r="V25" s="132">
        <f>IF(V$9&lt;$E13+$F13,SUM($J19:V19),0)</f>
        <v>0</v>
      </c>
      <c r="W25" s="132">
        <f>IF(W$9&lt;$E13+$F13,SUM($J19:W19),0)</f>
        <v>0</v>
      </c>
      <c r="X25" s="132">
        <f>IF(X$9&lt;$E13+$F13,SUM($J19:X19),0)</f>
        <v>0</v>
      </c>
      <c r="Y25" s="132">
        <f>IF(Y$9&lt;$E13+$F13,SUM($J19:Y19),0)</f>
        <v>0</v>
      </c>
      <c r="Z25" s="132">
        <f>IF(Z$9&lt;$E13+$F13,SUM($J19:Z19),0)</f>
        <v>0</v>
      </c>
      <c r="AA25" s="132">
        <f>IF(AA$9&lt;$E13+$F13,SUM($J19:AA19),0)</f>
        <v>0</v>
      </c>
      <c r="AB25" s="132">
        <f>IF(AB$9&lt;$E13+$F13,SUM($J19:AB19),0)</f>
        <v>0</v>
      </c>
      <c r="AC25" s="132">
        <f>IF(AC$9&lt;$E13+$F13,SUM($J19:AC19),0)</f>
        <v>0</v>
      </c>
      <c r="AD25" s="132">
        <f>IF(AD$9&lt;$E13+$F13,SUM($J19:AD19),0)</f>
        <v>0</v>
      </c>
      <c r="AE25" s="132">
        <f>IF(AE$9&lt;$E13+$F13,SUM($J19:AE19),0)</f>
        <v>0</v>
      </c>
      <c r="AF25" s="132">
        <f>IF(AF$9&lt;$E13+$F13,SUM($J19:AF19),0)</f>
        <v>0</v>
      </c>
      <c r="AG25" s="132">
        <f>IF(AG$9&lt;$E13+$F13,SUM($J19:AG19),0)</f>
        <v>0</v>
      </c>
      <c r="AH25" s="132">
        <f>IF(AH$9&lt;$E13+$F13,SUM($J19:AH19),0)</f>
        <v>0</v>
      </c>
      <c r="AI25" s="132">
        <f>IF(AI$9&lt;$E13+$F13,SUM($J19:AI19),0)</f>
        <v>0</v>
      </c>
      <c r="AJ25" s="132">
        <f>IF(AJ$9&lt;$E13+$F13,SUM($J19:AJ19),0)</f>
        <v>0</v>
      </c>
      <c r="AK25" s="132">
        <f>IF(AK$9&lt;$E13+$F13,SUM($J19:AK19),0)</f>
        <v>0</v>
      </c>
      <c r="AL25" s="132">
        <f>IF(AL$9&lt;$E13+$F13,SUM($J19:AL19),0)</f>
        <v>0</v>
      </c>
      <c r="AM25" s="132">
        <f>IF(AM$9&lt;$E13+$F13,SUM($J19:AM19),0)</f>
        <v>0</v>
      </c>
      <c r="AN25" s="132">
        <f>IF(AN$9&lt;$E13+$F13,SUM($J19:AN19),0)</f>
        <v>0</v>
      </c>
    </row>
    <row r="26" spans="1:52" s="21" customFormat="1" ht="18" x14ac:dyDescent="0.5">
      <c r="C26" s="21" t="str">
        <v>Sewerage treatment plant upgrade name</v>
      </c>
      <c r="H26" s="135" t="str">
        <f>baseyear</f>
        <v>FY$24</v>
      </c>
      <c r="J26" s="132">
        <f>IF(J$9&lt;$E14+$F14,SUM($J20:J20),0)</f>
        <v>0</v>
      </c>
      <c r="K26" s="132">
        <f>IF(K$9&lt;$E14+$F14,SUM($J20:K20),0)</f>
        <v>0</v>
      </c>
      <c r="L26" s="132">
        <f>IF(L$9&lt;$E14+$F14,SUM($J20:L20),0)</f>
        <v>0</v>
      </c>
      <c r="M26" s="132">
        <f>IF(M$9&lt;$E14+$F14,SUM($J20:M20),0)</f>
        <v>0</v>
      </c>
      <c r="N26" s="132">
        <f>IF(N$9&lt;$E14+$F14,SUM($J20:N20),0)</f>
        <v>0</v>
      </c>
      <c r="O26" s="132">
        <f>IF(O$9&lt;$E14+$F14,SUM($J20:O20),0)</f>
        <v>0</v>
      </c>
      <c r="P26" s="132">
        <f>IF(P$9&lt;$E14+$F14,SUM($J20:P20),0)</f>
        <v>0</v>
      </c>
      <c r="Q26" s="132">
        <f>IF(Q$9&lt;$E14+$F14,SUM($J20:Q20),0)</f>
        <v>0</v>
      </c>
      <c r="R26" s="132">
        <f>IF(R$9&lt;$E14+$F14,SUM($J20:R20),0)</f>
        <v>0</v>
      </c>
      <c r="S26" s="132">
        <f>IF(S$9&lt;$E14+$F14,SUM($J20:S20),0)</f>
        <v>0</v>
      </c>
      <c r="T26" s="132">
        <f>IF(T$9&lt;$E14+$F14,SUM($J20:T20),0)</f>
        <v>0</v>
      </c>
      <c r="U26" s="132">
        <f>IF(U$9&lt;$E14+$F14,SUM($J20:U20),0)</f>
        <v>0</v>
      </c>
      <c r="V26" s="132">
        <f>IF(V$9&lt;$E14+$F14,SUM($J20:V20),0)</f>
        <v>0</v>
      </c>
      <c r="W26" s="132">
        <f>IF(W$9&lt;$E14+$F14,SUM($J20:W20),0)</f>
        <v>0</v>
      </c>
      <c r="X26" s="132">
        <f>IF(X$9&lt;$E14+$F14,SUM($J20:X20),0)</f>
        <v>0</v>
      </c>
      <c r="Y26" s="132">
        <f>IF(Y$9&lt;$E14+$F14,SUM($J20:Y20),0)</f>
        <v>0</v>
      </c>
      <c r="Z26" s="132">
        <f>IF(Z$9&lt;$E14+$F14,SUM($J20:Z20),0)</f>
        <v>0</v>
      </c>
      <c r="AA26" s="132">
        <f>IF(AA$9&lt;$E14+$F14,SUM($J20:AA20),0)</f>
        <v>0</v>
      </c>
      <c r="AB26" s="132">
        <f>IF(AB$9&lt;$E14+$F14,SUM($J20:AB20),0)</f>
        <v>0</v>
      </c>
      <c r="AC26" s="132">
        <f>IF(AC$9&lt;$E14+$F14,SUM($J20:AC20),0)</f>
        <v>0</v>
      </c>
      <c r="AD26" s="132">
        <f>IF(AD$9&lt;$E14+$F14,SUM($J20:AD20),0)</f>
        <v>0</v>
      </c>
      <c r="AE26" s="132">
        <f>IF(AE$9&lt;$E14+$F14,SUM($J20:AE20),0)</f>
        <v>0</v>
      </c>
      <c r="AF26" s="132">
        <f>IF(AF$9&lt;$E14+$F14,SUM($J20:AF20),0)</f>
        <v>0</v>
      </c>
      <c r="AG26" s="132">
        <f>IF(AG$9&lt;$E14+$F14,SUM($J20:AG20),0)</f>
        <v>0</v>
      </c>
      <c r="AH26" s="132">
        <f>IF(AH$9&lt;$E14+$F14,SUM($J20:AH20),0)</f>
        <v>0</v>
      </c>
      <c r="AI26" s="132">
        <f>IF(AI$9&lt;$E14+$F14,SUM($J20:AI20),0)</f>
        <v>0</v>
      </c>
      <c r="AJ26" s="132">
        <f>IF(AJ$9&lt;$E14+$F14,SUM($J20:AJ20),0)</f>
        <v>0</v>
      </c>
      <c r="AK26" s="132">
        <f>IF(AK$9&lt;$E14+$F14,SUM($J20:AK20),0)</f>
        <v>0</v>
      </c>
      <c r="AL26" s="132">
        <f>IF(AL$9&lt;$E14+$F14,SUM($J20:AL20),0)</f>
        <v>0</v>
      </c>
      <c r="AM26" s="132">
        <f>IF(AM$9&lt;$E14+$F14,SUM($J20:AM20),0)</f>
        <v>0</v>
      </c>
      <c r="AN26" s="132">
        <f>IF(AN$9&lt;$E14+$F14,SUM($J20:AN20),0)</f>
        <v>0</v>
      </c>
    </row>
    <row r="27" spans="1:52" s="21" customFormat="1" ht="18" x14ac:dyDescent="0.5">
      <c r="C27" s="21" t="str">
        <v>Discharge / ocean outfall upgrade name</v>
      </c>
      <c r="H27" s="135" t="str">
        <f>baseyear</f>
        <v>FY$24</v>
      </c>
      <c r="J27" s="132">
        <f>IF(J$9&lt;$E15+$F15,SUM($J21:J21),0)</f>
        <v>0</v>
      </c>
      <c r="K27" s="132">
        <f>IF(K$9&lt;$E15+$F15,SUM($J21:K21),0)</f>
        <v>0</v>
      </c>
      <c r="L27" s="132">
        <f>IF(L$9&lt;$E15+$F15,SUM($J21:L21),0)</f>
        <v>0</v>
      </c>
      <c r="M27" s="132">
        <f>IF(M$9&lt;$E15+$F15,SUM($J21:M21),0)</f>
        <v>0</v>
      </c>
      <c r="N27" s="132">
        <f>IF(N$9&lt;$E15+$F15,SUM($J21:N21),0)</f>
        <v>0</v>
      </c>
      <c r="O27" s="132">
        <f>IF(O$9&lt;$E15+$F15,SUM($J21:O21),0)</f>
        <v>0</v>
      </c>
      <c r="P27" s="132">
        <f>IF(P$9&lt;$E15+$F15,SUM($J21:P21),0)</f>
        <v>0</v>
      </c>
      <c r="Q27" s="132">
        <f>IF(Q$9&lt;$E15+$F15,SUM($J21:Q21),0)</f>
        <v>0</v>
      </c>
      <c r="R27" s="132">
        <f>IF(R$9&lt;$E15+$F15,SUM($J21:R21),0)</f>
        <v>0</v>
      </c>
      <c r="S27" s="132">
        <f>IF(S$9&lt;$E15+$F15,SUM($J21:S21),0)</f>
        <v>0</v>
      </c>
      <c r="T27" s="132">
        <f>IF(T$9&lt;$E15+$F15,SUM($J21:T21),0)</f>
        <v>0</v>
      </c>
      <c r="U27" s="132">
        <f>IF(U$9&lt;$E15+$F15,SUM($J21:U21),0)</f>
        <v>0</v>
      </c>
      <c r="V27" s="132">
        <f>IF(V$9&lt;$E15+$F15,SUM($J21:V21),0)</f>
        <v>0</v>
      </c>
      <c r="W27" s="132">
        <f>IF(W$9&lt;$E15+$F15,SUM($J21:W21),0)</f>
        <v>0</v>
      </c>
      <c r="X27" s="132">
        <f>IF(X$9&lt;$E15+$F15,SUM($J21:X21),0)</f>
        <v>0</v>
      </c>
      <c r="Y27" s="132">
        <f>IF(Y$9&lt;$E15+$F15,SUM($J21:Y21),0)</f>
        <v>0</v>
      </c>
      <c r="Z27" s="132">
        <f>IF(Z$9&lt;$E15+$F15,SUM($J21:Z21),0)</f>
        <v>0</v>
      </c>
      <c r="AA27" s="132">
        <f>IF(AA$9&lt;$E15+$F15,SUM($J21:AA21),0)</f>
        <v>0</v>
      </c>
      <c r="AB27" s="132">
        <f>IF(AB$9&lt;$E15+$F15,SUM($J21:AB21),0)</f>
        <v>0</v>
      </c>
      <c r="AC27" s="132">
        <f>IF(AC$9&lt;$E15+$F15,SUM($J21:AC21),0)</f>
        <v>0</v>
      </c>
      <c r="AD27" s="132">
        <f>IF(AD$9&lt;$E15+$F15,SUM($J21:AD21),0)</f>
        <v>0</v>
      </c>
      <c r="AE27" s="132">
        <f>IF(AE$9&lt;$E15+$F15,SUM($J21:AE21),0)</f>
        <v>0</v>
      </c>
      <c r="AF27" s="132">
        <f>IF(AF$9&lt;$E15+$F15,SUM($J21:AF21),0)</f>
        <v>0</v>
      </c>
      <c r="AG27" s="132">
        <f>IF(AG$9&lt;$E15+$F15,SUM($J21:AG21),0)</f>
        <v>0</v>
      </c>
      <c r="AH27" s="132">
        <f>IF(AH$9&lt;$E15+$F15,SUM($J21:AH21),0)</f>
        <v>0</v>
      </c>
      <c r="AI27" s="132">
        <f>IF(AI$9&lt;$E15+$F15,SUM($J21:AI21),0)</f>
        <v>0</v>
      </c>
      <c r="AJ27" s="132">
        <f>IF(AJ$9&lt;$E15+$F15,SUM($J21:AJ21),0)</f>
        <v>0</v>
      </c>
      <c r="AK27" s="132">
        <f>IF(AK$9&lt;$E15+$F15,SUM($J21:AK21),0)</f>
        <v>0</v>
      </c>
      <c r="AL27" s="132">
        <f>IF(AL$9&lt;$E15+$F15,SUM($J21:AL21),0)</f>
        <v>0</v>
      </c>
      <c r="AM27" s="132">
        <f>IF(AM$9&lt;$E15+$F15,SUM($J21:AM21),0)</f>
        <v>0</v>
      </c>
      <c r="AN27" s="132">
        <f>IF(AN$9&lt;$E15+$F15,SUM($J21:AN21),0)</f>
        <v>0</v>
      </c>
    </row>
    <row r="28" spans="1:52" s="21" customFormat="1" ht="18" x14ac:dyDescent="0.5">
      <c r="J28" s="90"/>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row>
    <row r="29" spans="1:52" s="21" customFormat="1" ht="32" thickBot="1" x14ac:dyDescent="0.9">
      <c r="A29" s="24"/>
      <c r="B29" s="199" t="s">
        <v>108</v>
      </c>
      <c r="C29" s="199"/>
      <c r="D29" s="200"/>
      <c r="E29" s="200"/>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0"/>
      <c r="AG29" s="200"/>
      <c r="AH29" s="200"/>
      <c r="AI29" s="200"/>
      <c r="AJ29" s="200"/>
      <c r="AK29" s="200"/>
      <c r="AL29" s="200"/>
      <c r="AM29" s="200"/>
      <c r="AN29" s="200"/>
      <c r="AO29" s="213"/>
      <c r="AP29" s="214"/>
      <c r="AQ29" s="214"/>
      <c r="AR29" s="214"/>
      <c r="AS29" s="214"/>
      <c r="AT29" s="214"/>
      <c r="AU29" s="214"/>
      <c r="AV29" s="214"/>
      <c r="AW29" s="214"/>
      <c r="AX29" s="214"/>
      <c r="AY29" s="214"/>
      <c r="AZ29" s="214"/>
    </row>
    <row r="30" spans="1:52" ht="17.25" customHeight="1" x14ac:dyDescent="0.85">
      <c r="A30" s="21"/>
      <c r="B30" s="91"/>
      <c r="C30" s="91"/>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row>
    <row r="31" spans="1:52" s="68" customFormat="1" ht="21.75" customHeight="1" x14ac:dyDescent="0.6">
      <c r="B31" s="68" t="s">
        <v>109</v>
      </c>
      <c r="H31" s="77"/>
    </row>
    <row r="32" spans="1:52" s="68" customFormat="1" ht="22" x14ac:dyDescent="0.6">
      <c r="H32" s="77"/>
    </row>
    <row r="33" spans="3:40" ht="18" x14ac:dyDescent="0.5">
      <c r="C33" s="67" t="str" cm="1">
        <f t="array" ref="C33:C35">assetnames</f>
        <v>Network upgrade name</v>
      </c>
      <c r="G33" s="52" t="s">
        <v>116</v>
      </c>
      <c r="H33" s="135" t="str">
        <f>baseyear</f>
        <v>FY$24</v>
      </c>
      <c r="J33" s="132">
        <f t="shared" ref="J33:S35" si="7">INDEX(baselineopex,MATCH($C33,assetnames,0),MATCH(J$8,tplus,0))*(1+costsensitivity)</f>
        <v>0</v>
      </c>
      <c r="K33" s="132">
        <f t="shared" si="7"/>
        <v>0</v>
      </c>
      <c r="L33" s="132">
        <f t="shared" si="7"/>
        <v>0</v>
      </c>
      <c r="M33" s="132">
        <f t="shared" si="7"/>
        <v>0</v>
      </c>
      <c r="N33" s="132">
        <f t="shared" si="7"/>
        <v>0</v>
      </c>
      <c r="O33" s="132">
        <f t="shared" si="7"/>
        <v>0</v>
      </c>
      <c r="P33" s="132">
        <f t="shared" si="7"/>
        <v>0</v>
      </c>
      <c r="Q33" s="132">
        <f t="shared" si="7"/>
        <v>0</v>
      </c>
      <c r="R33" s="132">
        <f t="shared" si="7"/>
        <v>0</v>
      </c>
      <c r="S33" s="132">
        <f t="shared" si="7"/>
        <v>0</v>
      </c>
      <c r="T33" s="132">
        <f t="shared" ref="T33:AC35" si="8">INDEX(baselineopex,MATCH($C33,assetnames,0),MATCH(T$8,tplus,0))*(1+costsensitivity)</f>
        <v>0</v>
      </c>
      <c r="U33" s="132">
        <f t="shared" si="8"/>
        <v>0</v>
      </c>
      <c r="V33" s="132">
        <f t="shared" si="8"/>
        <v>0</v>
      </c>
      <c r="W33" s="132">
        <f t="shared" si="8"/>
        <v>0</v>
      </c>
      <c r="X33" s="132">
        <f t="shared" si="8"/>
        <v>0</v>
      </c>
      <c r="Y33" s="132">
        <f t="shared" si="8"/>
        <v>0</v>
      </c>
      <c r="Z33" s="132">
        <f t="shared" si="8"/>
        <v>0</v>
      </c>
      <c r="AA33" s="132">
        <f t="shared" si="8"/>
        <v>0</v>
      </c>
      <c r="AB33" s="132">
        <f t="shared" si="8"/>
        <v>0</v>
      </c>
      <c r="AC33" s="132">
        <f t="shared" si="8"/>
        <v>0</v>
      </c>
      <c r="AD33" s="132">
        <f t="shared" ref="AD33:AN35" si="9">INDEX(baselineopex,MATCH($C33,assetnames,0),MATCH(AD$8,tplus,0))*(1+costsensitivity)</f>
        <v>0</v>
      </c>
      <c r="AE33" s="132">
        <f t="shared" si="9"/>
        <v>0</v>
      </c>
      <c r="AF33" s="132">
        <f t="shared" si="9"/>
        <v>0</v>
      </c>
      <c r="AG33" s="132">
        <f t="shared" si="9"/>
        <v>0</v>
      </c>
      <c r="AH33" s="132">
        <f t="shared" si="9"/>
        <v>0</v>
      </c>
      <c r="AI33" s="132">
        <f t="shared" si="9"/>
        <v>0</v>
      </c>
      <c r="AJ33" s="132">
        <f t="shared" si="9"/>
        <v>0</v>
      </c>
      <c r="AK33" s="132">
        <f t="shared" si="9"/>
        <v>0</v>
      </c>
      <c r="AL33" s="132">
        <f t="shared" si="9"/>
        <v>0</v>
      </c>
      <c r="AM33" s="132">
        <f t="shared" si="9"/>
        <v>0</v>
      </c>
      <c r="AN33" s="132">
        <f t="shared" si="9"/>
        <v>0</v>
      </c>
    </row>
    <row r="34" spans="3:40" ht="18" x14ac:dyDescent="0.5">
      <c r="C34" s="67" t="str">
        <v>Sewerage treatment plant upgrade name</v>
      </c>
      <c r="H34" s="135" t="str">
        <f>baseyear</f>
        <v>FY$24</v>
      </c>
      <c r="J34" s="132">
        <f t="shared" si="7"/>
        <v>0</v>
      </c>
      <c r="K34" s="132">
        <f t="shared" si="7"/>
        <v>0</v>
      </c>
      <c r="L34" s="132">
        <f t="shared" si="7"/>
        <v>0</v>
      </c>
      <c r="M34" s="132">
        <f t="shared" si="7"/>
        <v>0</v>
      </c>
      <c r="N34" s="132">
        <f t="shared" si="7"/>
        <v>0</v>
      </c>
      <c r="O34" s="132">
        <f t="shared" si="7"/>
        <v>0</v>
      </c>
      <c r="P34" s="132">
        <f t="shared" si="7"/>
        <v>0</v>
      </c>
      <c r="Q34" s="132">
        <f t="shared" si="7"/>
        <v>0</v>
      </c>
      <c r="R34" s="132">
        <f t="shared" si="7"/>
        <v>0</v>
      </c>
      <c r="S34" s="132">
        <f t="shared" si="7"/>
        <v>0</v>
      </c>
      <c r="T34" s="132">
        <f t="shared" si="8"/>
        <v>0</v>
      </c>
      <c r="U34" s="132">
        <f t="shared" si="8"/>
        <v>0</v>
      </c>
      <c r="V34" s="132">
        <f t="shared" si="8"/>
        <v>0</v>
      </c>
      <c r="W34" s="132">
        <f t="shared" si="8"/>
        <v>0</v>
      </c>
      <c r="X34" s="132">
        <f t="shared" si="8"/>
        <v>0</v>
      </c>
      <c r="Y34" s="132">
        <f t="shared" si="8"/>
        <v>0</v>
      </c>
      <c r="Z34" s="132">
        <f t="shared" si="8"/>
        <v>0</v>
      </c>
      <c r="AA34" s="132">
        <f t="shared" si="8"/>
        <v>0</v>
      </c>
      <c r="AB34" s="132">
        <f t="shared" si="8"/>
        <v>0</v>
      </c>
      <c r="AC34" s="132">
        <f t="shared" si="8"/>
        <v>0</v>
      </c>
      <c r="AD34" s="132">
        <f t="shared" si="9"/>
        <v>0</v>
      </c>
      <c r="AE34" s="132">
        <f t="shared" si="9"/>
        <v>0</v>
      </c>
      <c r="AF34" s="132">
        <f t="shared" si="9"/>
        <v>0</v>
      </c>
      <c r="AG34" s="132">
        <f t="shared" si="9"/>
        <v>0</v>
      </c>
      <c r="AH34" s="132">
        <f t="shared" si="9"/>
        <v>0</v>
      </c>
      <c r="AI34" s="132">
        <f t="shared" si="9"/>
        <v>0</v>
      </c>
      <c r="AJ34" s="132">
        <f t="shared" si="9"/>
        <v>0</v>
      </c>
      <c r="AK34" s="132">
        <f t="shared" si="9"/>
        <v>0</v>
      </c>
      <c r="AL34" s="132">
        <f t="shared" si="9"/>
        <v>0</v>
      </c>
      <c r="AM34" s="132">
        <f t="shared" si="9"/>
        <v>0</v>
      </c>
      <c r="AN34" s="132">
        <f t="shared" si="9"/>
        <v>0</v>
      </c>
    </row>
    <row r="35" spans="3:40" ht="18" x14ac:dyDescent="0.5">
      <c r="C35" s="67" t="str">
        <v>Discharge / ocean outfall upgrade name</v>
      </c>
      <c r="H35" s="135" t="str">
        <f>baseyear</f>
        <v>FY$24</v>
      </c>
      <c r="J35" s="132">
        <f t="shared" si="7"/>
        <v>0</v>
      </c>
      <c r="K35" s="132">
        <f t="shared" si="7"/>
        <v>0</v>
      </c>
      <c r="L35" s="132">
        <f t="shared" si="7"/>
        <v>0</v>
      </c>
      <c r="M35" s="132">
        <f t="shared" si="7"/>
        <v>0</v>
      </c>
      <c r="N35" s="132">
        <f t="shared" si="7"/>
        <v>0</v>
      </c>
      <c r="O35" s="132">
        <f t="shared" si="7"/>
        <v>0</v>
      </c>
      <c r="P35" s="132">
        <f t="shared" si="7"/>
        <v>0</v>
      </c>
      <c r="Q35" s="132">
        <f t="shared" si="7"/>
        <v>0</v>
      </c>
      <c r="R35" s="132">
        <f t="shared" si="7"/>
        <v>0</v>
      </c>
      <c r="S35" s="132">
        <f t="shared" si="7"/>
        <v>0</v>
      </c>
      <c r="T35" s="132">
        <f t="shared" si="8"/>
        <v>0</v>
      </c>
      <c r="U35" s="132">
        <f t="shared" si="8"/>
        <v>0</v>
      </c>
      <c r="V35" s="132">
        <f t="shared" si="8"/>
        <v>0</v>
      </c>
      <c r="W35" s="132">
        <f t="shared" si="8"/>
        <v>0</v>
      </c>
      <c r="X35" s="132">
        <f t="shared" si="8"/>
        <v>0</v>
      </c>
      <c r="Y35" s="132">
        <f t="shared" si="8"/>
        <v>0</v>
      </c>
      <c r="Z35" s="132">
        <f t="shared" si="8"/>
        <v>0</v>
      </c>
      <c r="AA35" s="132">
        <f t="shared" si="8"/>
        <v>0</v>
      </c>
      <c r="AB35" s="132">
        <f t="shared" si="8"/>
        <v>0</v>
      </c>
      <c r="AC35" s="132">
        <f t="shared" si="8"/>
        <v>0</v>
      </c>
      <c r="AD35" s="132">
        <f t="shared" si="9"/>
        <v>0</v>
      </c>
      <c r="AE35" s="132">
        <f t="shared" si="9"/>
        <v>0</v>
      </c>
      <c r="AF35" s="132">
        <f t="shared" si="9"/>
        <v>0</v>
      </c>
      <c r="AG35" s="132">
        <f t="shared" si="9"/>
        <v>0</v>
      </c>
      <c r="AH35" s="132">
        <f t="shared" si="9"/>
        <v>0</v>
      </c>
      <c r="AI35" s="132">
        <f t="shared" si="9"/>
        <v>0</v>
      </c>
      <c r="AJ35" s="132">
        <f t="shared" si="9"/>
        <v>0</v>
      </c>
      <c r="AK35" s="132">
        <f t="shared" si="9"/>
        <v>0</v>
      </c>
      <c r="AL35" s="132">
        <f t="shared" si="9"/>
        <v>0</v>
      </c>
      <c r="AM35" s="132">
        <f t="shared" si="9"/>
        <v>0</v>
      </c>
      <c r="AN35" s="132">
        <f t="shared" si="9"/>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B854-F241-4C67-AEFB-84D06CC2DD9D}">
  <sheetPr>
    <tabColor theme="6"/>
  </sheetPr>
  <dimension ref="A1:BC106"/>
  <sheetViews>
    <sheetView topLeftCell="N56" zoomScale="70" zoomScaleNormal="70" workbookViewId="0">
      <selection activeCell="AM1" sqref="AM1:AZ2"/>
    </sheetView>
  </sheetViews>
  <sheetFormatPr defaultRowHeight="16.5" x14ac:dyDescent="0.45"/>
  <cols>
    <col min="1" max="1" width="5.23046875" customWidth="1"/>
    <col min="2" max="2" width="10.23046875" customWidth="1"/>
    <col min="3" max="3" width="48.3046875" customWidth="1"/>
    <col min="4" max="4" width="13.84375" bestFit="1" customWidth="1"/>
    <col min="5" max="5" width="15.69140625" customWidth="1"/>
    <col min="6" max="6" width="10.07421875" bestFit="1" customWidth="1"/>
    <col min="7" max="7" width="5.69140625" customWidth="1"/>
    <col min="8" max="8" width="23.84375" customWidth="1"/>
    <col min="9" max="9" width="12.23046875" customWidth="1"/>
    <col min="10" max="10" width="16.3046875" customWidth="1"/>
    <col min="11" max="11" width="12.3046875" customWidth="1"/>
    <col min="12" max="50" width="10.07421875" bestFit="1" customWidth="1"/>
  </cols>
  <sheetData>
    <row r="1" spans="1:54" ht="31.5" x14ac:dyDescent="0.45">
      <c r="A1" s="5"/>
      <c r="B1" s="133" t="s">
        <v>158</v>
      </c>
      <c r="C1" s="3"/>
      <c r="D1" s="1"/>
      <c r="E1" s="1"/>
      <c r="F1" s="6"/>
      <c r="G1" s="6"/>
      <c r="H1" s="6"/>
      <c r="I1" s="5"/>
      <c r="J1" s="6"/>
      <c r="K1" s="6"/>
      <c r="L1" s="6"/>
      <c r="M1" s="6"/>
      <c r="N1" s="6"/>
      <c r="O1" s="6"/>
      <c r="P1" s="6"/>
      <c r="Q1" s="6"/>
      <c r="R1" s="6"/>
      <c r="S1" s="10"/>
      <c r="T1" s="10"/>
      <c r="U1" s="10"/>
      <c r="V1" s="10"/>
      <c r="W1" s="10"/>
      <c r="X1" s="10"/>
      <c r="Y1" s="10"/>
      <c r="Z1" s="10"/>
      <c r="AA1" s="10"/>
      <c r="AB1" s="10"/>
      <c r="AC1" s="10"/>
      <c r="AD1" s="10"/>
      <c r="AE1" s="10"/>
      <c r="AF1" s="10"/>
      <c r="AG1" s="10"/>
      <c r="AH1" s="10"/>
      <c r="AI1" s="10"/>
      <c r="AJ1" s="10"/>
      <c r="AK1" s="10"/>
      <c r="AL1" s="10"/>
      <c r="AM1" s="217"/>
      <c r="AN1" s="217"/>
      <c r="AO1" s="217"/>
      <c r="AP1" s="217"/>
      <c r="AQ1" s="217"/>
      <c r="AR1" s="217"/>
      <c r="AS1" s="217"/>
      <c r="AT1" s="217"/>
      <c r="AU1" s="217"/>
      <c r="AV1" s="217"/>
      <c r="AW1" s="217"/>
      <c r="AX1" s="217"/>
      <c r="AY1" s="217"/>
      <c r="AZ1" s="217"/>
    </row>
    <row r="2" spans="1:54" ht="23" x14ac:dyDescent="0.45">
      <c r="A2" s="7"/>
      <c r="B2" s="162" t="s">
        <v>0</v>
      </c>
      <c r="C2" s="4"/>
      <c r="D2" s="2"/>
      <c r="E2" s="2"/>
      <c r="F2" s="7"/>
      <c r="G2" s="7"/>
      <c r="H2" s="7"/>
      <c r="I2" s="7"/>
      <c r="J2" s="7"/>
      <c r="K2" s="7"/>
      <c r="L2" s="7"/>
      <c r="M2" s="7"/>
      <c r="N2" s="7"/>
      <c r="O2" s="7"/>
      <c r="P2" s="7"/>
      <c r="Q2" s="7"/>
      <c r="R2" s="7"/>
      <c r="S2" s="10"/>
      <c r="T2" s="10"/>
      <c r="U2" s="10"/>
      <c r="V2" s="10"/>
      <c r="W2" s="10"/>
      <c r="X2" s="10"/>
      <c r="Y2" s="10"/>
      <c r="Z2" s="10"/>
      <c r="AA2" s="10"/>
      <c r="AB2" s="10"/>
      <c r="AC2" s="10"/>
      <c r="AD2" s="10"/>
      <c r="AE2" s="10"/>
      <c r="AF2" s="10"/>
      <c r="AG2" s="10"/>
      <c r="AH2" s="10"/>
      <c r="AI2" s="10"/>
      <c r="AJ2" s="10"/>
      <c r="AK2" s="10"/>
      <c r="AL2" s="10"/>
      <c r="AM2" s="217"/>
      <c r="AN2" s="217"/>
      <c r="AO2" s="217"/>
      <c r="AP2" s="217"/>
      <c r="AQ2" s="217"/>
      <c r="AR2" s="217"/>
      <c r="AS2" s="217"/>
      <c r="AT2" s="217"/>
      <c r="AU2" s="217"/>
      <c r="AV2" s="217"/>
      <c r="AW2" s="217"/>
      <c r="AX2" s="217"/>
      <c r="AY2" s="217"/>
      <c r="AZ2" s="217"/>
    </row>
    <row r="3" spans="1:54" x14ac:dyDescent="0.45">
      <c r="A3" s="9"/>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8"/>
      <c r="AZ3" s="8"/>
    </row>
    <row r="4" spans="1:54" x14ac:dyDescent="0.45">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8"/>
      <c r="AZ4" s="8"/>
    </row>
    <row r="5" spans="1:54" x14ac:dyDescent="0.4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8"/>
      <c r="AZ5" s="8"/>
    </row>
    <row r="6" spans="1:54" x14ac:dyDescent="0.4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8"/>
      <c r="AZ6" s="8"/>
    </row>
    <row r="7" spans="1:54" x14ac:dyDescent="0.45">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8"/>
      <c r="AZ7" s="8"/>
    </row>
    <row r="8" spans="1:54" s="21" customFormat="1" ht="31.5" x14ac:dyDescent="0.85">
      <c r="A8" s="24"/>
      <c r="B8" s="206" t="s">
        <v>0</v>
      </c>
      <c r="C8" s="206"/>
      <c r="D8" s="206" t="s">
        <v>40</v>
      </c>
      <c r="E8" s="206" t="s">
        <v>41</v>
      </c>
      <c r="F8" s="206"/>
      <c r="G8" s="206"/>
      <c r="H8" s="206" t="s">
        <v>42</v>
      </c>
      <c r="I8" s="206" t="s">
        <v>43</v>
      </c>
      <c r="J8" s="206" t="s">
        <v>44</v>
      </c>
      <c r="K8" s="206" t="s">
        <v>45</v>
      </c>
      <c r="L8" s="206"/>
      <c r="M8" s="206"/>
      <c r="N8" s="206" t="s">
        <v>46</v>
      </c>
      <c r="O8" s="206"/>
      <c r="P8" s="207"/>
      <c r="Q8" s="207"/>
      <c r="R8" s="207"/>
      <c r="S8" s="207"/>
      <c r="T8" s="207"/>
      <c r="U8" s="207"/>
      <c r="V8" s="207"/>
      <c r="W8" s="207"/>
      <c r="X8" s="207"/>
      <c r="Y8" s="207"/>
      <c r="Z8" s="207"/>
      <c r="AA8" s="207"/>
      <c r="AB8" s="207"/>
      <c r="AC8" s="207"/>
      <c r="AD8" s="207"/>
      <c r="AE8" s="207"/>
      <c r="AF8" s="207"/>
      <c r="AG8" s="207"/>
      <c r="AH8" s="207"/>
      <c r="AI8" s="207"/>
      <c r="AJ8" s="207"/>
      <c r="AK8" s="207"/>
      <c r="AL8" s="207"/>
      <c r="AM8" s="209"/>
      <c r="AN8" s="210"/>
      <c r="AO8" s="210"/>
      <c r="AP8" s="210"/>
      <c r="AQ8" s="210"/>
      <c r="AR8" s="210"/>
      <c r="AS8" s="210"/>
      <c r="AT8" s="210"/>
      <c r="AU8" s="210"/>
      <c r="AV8" s="210"/>
      <c r="AW8" s="210"/>
      <c r="AX8" s="210"/>
      <c r="AY8" s="216"/>
      <c r="AZ8" s="8"/>
      <c r="BA8"/>
      <c r="BB8"/>
    </row>
    <row r="9" spans="1:54" x14ac:dyDescent="0.45">
      <c r="A9" s="8"/>
      <c r="B9" s="208"/>
      <c r="C9" s="208"/>
      <c r="D9" s="208"/>
      <c r="E9" s="208"/>
      <c r="F9" s="208"/>
      <c r="G9" s="208"/>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8"/>
      <c r="AN9" s="8"/>
      <c r="AO9" s="8"/>
      <c r="AP9" s="8"/>
      <c r="AQ9" s="8"/>
      <c r="AR9" s="8"/>
      <c r="AS9" s="8"/>
      <c r="AT9" s="8"/>
      <c r="AU9" s="8"/>
      <c r="AV9" s="8"/>
      <c r="AW9" s="8"/>
      <c r="AX9" s="8"/>
      <c r="AY9" s="8"/>
      <c r="AZ9" s="8"/>
    </row>
    <row r="10" spans="1:54" ht="18" x14ac:dyDescent="0.5">
      <c r="A10" s="8"/>
      <c r="B10" s="8"/>
      <c r="C10" s="50" t="s">
        <v>3</v>
      </c>
      <c r="D10" s="51" t="s">
        <v>30</v>
      </c>
      <c r="E10" s="52" t="s">
        <v>17</v>
      </c>
      <c r="F10" s="8"/>
      <c r="G10" s="8"/>
      <c r="H10" s="163">
        <f>discountrate</f>
        <v>0.05</v>
      </c>
      <c r="I10" s="164">
        <v>0.03</v>
      </c>
      <c r="J10" s="164">
        <v>0.05</v>
      </c>
      <c r="K10" s="164">
        <v>7.0000000000000007E-2</v>
      </c>
      <c r="L10" s="25"/>
      <c r="M10" s="8"/>
      <c r="N10" s="49"/>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row>
    <row r="11" spans="1:54" ht="18" x14ac:dyDescent="0.5">
      <c r="A11" s="8"/>
      <c r="B11" s="8"/>
      <c r="C11" s="50" t="s">
        <v>47</v>
      </c>
      <c r="D11" s="51" t="s">
        <v>30</v>
      </c>
      <c r="E11" s="52" t="s">
        <v>34</v>
      </c>
      <c r="F11" s="8"/>
      <c r="G11" s="8"/>
      <c r="H11" s="163">
        <f>costsensitivity</f>
        <v>0</v>
      </c>
      <c r="I11" s="164">
        <v>-0.2</v>
      </c>
      <c r="J11" s="164">
        <v>0</v>
      </c>
      <c r="K11" s="164">
        <v>0.2</v>
      </c>
      <c r="L11" s="25"/>
      <c r="M11" s="8"/>
      <c r="N11" s="49"/>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row>
    <row r="12" spans="1:54" x14ac:dyDescent="0.4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row>
    <row r="13" spans="1:54" s="25" customFormat="1" ht="22" x14ac:dyDescent="0.6">
      <c r="B13" s="190" t="s">
        <v>4</v>
      </c>
      <c r="C13" s="50"/>
      <c r="AY13" s="8"/>
      <c r="AZ13" s="8"/>
      <c r="BA13"/>
      <c r="BB13"/>
    </row>
    <row r="14" spans="1:54" x14ac:dyDescent="0.45">
      <c r="A14" s="8"/>
      <c r="B14" s="8"/>
      <c r="C14" s="46"/>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row>
    <row r="15" spans="1:54" ht="18" x14ac:dyDescent="0.45">
      <c r="A15" s="8"/>
      <c r="B15" s="8"/>
      <c r="C15" s="47" t="s">
        <v>5</v>
      </c>
      <c r="D15" s="8"/>
      <c r="E15" s="16" t="s">
        <v>6</v>
      </c>
      <c r="F15" s="11"/>
      <c r="G15" s="8"/>
      <c r="H15" s="165">
        <v>45474</v>
      </c>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8"/>
      <c r="AZ15" s="8"/>
    </row>
    <row r="16" spans="1:54" ht="18" x14ac:dyDescent="0.45">
      <c r="A16" s="8"/>
      <c r="B16" s="8"/>
      <c r="C16" s="47" t="s">
        <v>7</v>
      </c>
      <c r="D16" s="8"/>
      <c r="E16" s="16" t="s">
        <v>8</v>
      </c>
      <c r="F16" s="11"/>
      <c r="G16" s="8"/>
      <c r="H16" s="165">
        <v>45838</v>
      </c>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8"/>
      <c r="AZ16" s="8"/>
    </row>
    <row r="17" spans="1:54" x14ac:dyDescent="0.45">
      <c r="A17" s="8"/>
      <c r="B17" s="8"/>
      <c r="C17" s="47" t="s">
        <v>9</v>
      </c>
      <c r="D17" s="8"/>
      <c r="E17" s="16" t="s">
        <v>10</v>
      </c>
      <c r="F17" s="11"/>
      <c r="G17" s="8"/>
      <c r="H17" s="166">
        <f>YEAR(H16)</f>
        <v>2025</v>
      </c>
      <c r="I17" s="11"/>
      <c r="J17" s="11"/>
      <c r="K17" s="11"/>
      <c r="L17" s="11"/>
      <c r="M17" s="12"/>
      <c r="N17" s="11"/>
      <c r="O17" s="11"/>
      <c r="P17" s="12"/>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8"/>
      <c r="AZ17" s="8"/>
    </row>
    <row r="18" spans="1:54" x14ac:dyDescent="0.45">
      <c r="A18" s="8"/>
      <c r="B18" s="8"/>
      <c r="C18" s="47" t="s">
        <v>11</v>
      </c>
      <c r="D18" s="8"/>
      <c r="E18" s="16" t="s">
        <v>12</v>
      </c>
      <c r="F18" s="11"/>
      <c r="G18" s="8"/>
      <c r="H18" s="166">
        <f>ModelFYStart+30-1</f>
        <v>2054</v>
      </c>
      <c r="I18" s="11"/>
      <c r="J18" s="11"/>
      <c r="K18" s="11"/>
      <c r="L18" s="11"/>
      <c r="M18" s="12"/>
      <c r="N18" s="11"/>
      <c r="O18" s="11"/>
      <c r="P18" s="12"/>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8"/>
      <c r="AZ18" s="8"/>
    </row>
    <row r="19" spans="1:54" ht="18" x14ac:dyDescent="0.5">
      <c r="A19" s="8"/>
      <c r="B19" s="8"/>
      <c r="C19" s="55" t="s">
        <v>49</v>
      </c>
      <c r="D19" s="41"/>
      <c r="E19" s="52" t="s">
        <v>50</v>
      </c>
      <c r="F19" s="52"/>
      <c r="G19" s="25"/>
      <c r="H19" s="56" t="s">
        <v>51</v>
      </c>
      <c r="I19" s="11"/>
      <c r="J19" s="11"/>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8"/>
      <c r="AZ19" s="8"/>
    </row>
    <row r="20" spans="1:54" x14ac:dyDescent="0.45">
      <c r="A20" s="8"/>
      <c r="B20" s="8"/>
      <c r="C20" s="48"/>
      <c r="D20" s="13"/>
      <c r="E20" s="14"/>
      <c r="F20" s="15"/>
      <c r="G20" s="11"/>
      <c r="H20" s="11"/>
      <c r="I20" s="11"/>
      <c r="J20" s="11"/>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8"/>
      <c r="AZ20" s="8"/>
    </row>
    <row r="21" spans="1:54" s="21" customFormat="1" ht="32" thickBot="1" x14ac:dyDescent="0.9">
      <c r="A21" s="24"/>
      <c r="B21" s="199" t="s">
        <v>48</v>
      </c>
      <c r="C21" s="199"/>
      <c r="D21" s="201"/>
      <c r="E21" s="201"/>
      <c r="F21" s="201"/>
      <c r="G21" s="201"/>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200"/>
      <c r="AM21" s="209"/>
      <c r="AN21" s="210"/>
      <c r="AO21" s="210"/>
      <c r="AP21" s="210"/>
      <c r="AQ21" s="210"/>
      <c r="AR21" s="210"/>
      <c r="AS21" s="210"/>
      <c r="AT21" s="210"/>
      <c r="AU21" s="210"/>
      <c r="AV21" s="210"/>
      <c r="AW21" s="210"/>
      <c r="AX21" s="210"/>
      <c r="AY21" s="8"/>
      <c r="AZ21" s="8"/>
      <c r="BA21"/>
      <c r="BB21"/>
    </row>
    <row r="22" spans="1:54" s="21" customFormat="1" ht="21" customHeight="1" x14ac:dyDescent="0.85">
      <c r="A22" s="37"/>
      <c r="B22" s="37"/>
      <c r="C22" s="53"/>
      <c r="D22" s="37"/>
      <c r="E22" s="37"/>
      <c r="F22" s="37"/>
      <c r="G22" s="37"/>
      <c r="H22" s="37"/>
      <c r="I22" s="54"/>
      <c r="J22" s="54"/>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25"/>
      <c r="AQ22" s="25"/>
      <c r="AR22" s="54"/>
      <c r="AS22" s="54"/>
      <c r="AT22" s="25"/>
      <c r="AU22" s="25"/>
      <c r="AV22" s="25"/>
      <c r="AW22" s="25"/>
      <c r="AX22" s="25"/>
      <c r="AY22" s="8"/>
      <c r="AZ22" s="8"/>
      <c r="BA22"/>
      <c r="BB22"/>
    </row>
    <row r="23" spans="1:54" s="21" customFormat="1" ht="24" customHeight="1" x14ac:dyDescent="0.6">
      <c r="A23" s="25"/>
      <c r="B23" s="25"/>
      <c r="C23" s="57"/>
      <c r="D23" s="58"/>
      <c r="E23" s="36"/>
      <c r="F23" s="36"/>
      <c r="G23" s="36"/>
      <c r="H23" s="59">
        <f>ModelFYStart</f>
        <v>2025</v>
      </c>
      <c r="I23" s="59">
        <f>H23+1</f>
        <v>2026</v>
      </c>
      <c r="J23" s="59">
        <f>I23+1</f>
        <v>2027</v>
      </c>
      <c r="K23" s="59">
        <f t="shared" ref="K23:AI23" si="0">J23+1</f>
        <v>2028</v>
      </c>
      <c r="L23" s="59">
        <f t="shared" si="0"/>
        <v>2029</v>
      </c>
      <c r="M23" s="59">
        <f t="shared" si="0"/>
        <v>2030</v>
      </c>
      <c r="N23" s="59">
        <f t="shared" si="0"/>
        <v>2031</v>
      </c>
      <c r="O23" s="59">
        <f t="shared" si="0"/>
        <v>2032</v>
      </c>
      <c r="P23" s="59">
        <f t="shared" si="0"/>
        <v>2033</v>
      </c>
      <c r="Q23" s="59">
        <f t="shared" si="0"/>
        <v>2034</v>
      </c>
      <c r="R23" s="59">
        <f t="shared" si="0"/>
        <v>2035</v>
      </c>
      <c r="S23" s="59">
        <f t="shared" si="0"/>
        <v>2036</v>
      </c>
      <c r="T23" s="59">
        <f t="shared" si="0"/>
        <v>2037</v>
      </c>
      <c r="U23" s="59">
        <f t="shared" si="0"/>
        <v>2038</v>
      </c>
      <c r="V23" s="59">
        <f t="shared" si="0"/>
        <v>2039</v>
      </c>
      <c r="W23" s="59">
        <f t="shared" si="0"/>
        <v>2040</v>
      </c>
      <c r="X23" s="59">
        <f t="shared" si="0"/>
        <v>2041</v>
      </c>
      <c r="Y23" s="59">
        <f t="shared" si="0"/>
        <v>2042</v>
      </c>
      <c r="Z23" s="59">
        <f t="shared" si="0"/>
        <v>2043</v>
      </c>
      <c r="AA23" s="59">
        <f t="shared" si="0"/>
        <v>2044</v>
      </c>
      <c r="AB23" s="59">
        <f t="shared" si="0"/>
        <v>2045</v>
      </c>
      <c r="AC23" s="59">
        <f t="shared" si="0"/>
        <v>2046</v>
      </c>
      <c r="AD23" s="59">
        <f t="shared" si="0"/>
        <v>2047</v>
      </c>
      <c r="AE23" s="59">
        <f t="shared" si="0"/>
        <v>2048</v>
      </c>
      <c r="AF23" s="59">
        <f t="shared" si="0"/>
        <v>2049</v>
      </c>
      <c r="AG23" s="59">
        <f t="shared" si="0"/>
        <v>2050</v>
      </c>
      <c r="AH23" s="59">
        <f t="shared" si="0"/>
        <v>2051</v>
      </c>
      <c r="AI23" s="59">
        <f t="shared" si="0"/>
        <v>2052</v>
      </c>
      <c r="AJ23" s="59">
        <f t="shared" ref="AJ23" si="1">AI23+1</f>
        <v>2053</v>
      </c>
      <c r="AK23" s="59">
        <f t="shared" ref="AK23" si="2">AJ23+1</f>
        <v>2054</v>
      </c>
      <c r="AL23" s="128"/>
      <c r="AM23" s="27"/>
      <c r="AN23" s="27"/>
      <c r="AO23" s="27"/>
      <c r="AP23" s="27"/>
      <c r="AQ23" s="27"/>
      <c r="AR23" s="27"/>
      <c r="AS23" s="27"/>
      <c r="AT23" s="27"/>
      <c r="AU23" s="27"/>
      <c r="AV23" s="27"/>
      <c r="AW23" s="27"/>
      <c r="AX23" s="27"/>
      <c r="AY23" s="27"/>
      <c r="AZ23" s="27"/>
    </row>
    <row r="24" spans="1:54" s="21" customFormat="1" ht="18" x14ac:dyDescent="0.5">
      <c r="A24" s="25"/>
      <c r="B24" s="25"/>
      <c r="C24" s="61" t="s">
        <v>13</v>
      </c>
      <c r="D24" s="62"/>
      <c r="E24" s="63"/>
      <c r="F24" s="63"/>
      <c r="G24" s="63"/>
      <c r="H24" s="167">
        <f>firstfinyearstart</f>
        <v>45474</v>
      </c>
      <c r="I24" s="167">
        <f>DATE(YEAR(H24)+1,MONTH(H24),DAY(H24))</f>
        <v>45839</v>
      </c>
      <c r="J24" s="167">
        <f>DATE(YEAR(I24)+1,MONTH(I24),DAY(I24))</f>
        <v>46204</v>
      </c>
      <c r="K24" s="167">
        <f t="shared" ref="K24:AI25" si="3">DATE(YEAR(J24)+1,MONTH(J24),DAY(J24))</f>
        <v>46569</v>
      </c>
      <c r="L24" s="167">
        <f t="shared" si="3"/>
        <v>46935</v>
      </c>
      <c r="M24" s="167">
        <f t="shared" si="3"/>
        <v>47300</v>
      </c>
      <c r="N24" s="167">
        <f t="shared" si="3"/>
        <v>47665</v>
      </c>
      <c r="O24" s="167">
        <f t="shared" si="3"/>
        <v>48030</v>
      </c>
      <c r="P24" s="167">
        <f t="shared" si="3"/>
        <v>48396</v>
      </c>
      <c r="Q24" s="167">
        <f t="shared" si="3"/>
        <v>48761</v>
      </c>
      <c r="R24" s="167">
        <f t="shared" si="3"/>
        <v>49126</v>
      </c>
      <c r="S24" s="167">
        <f t="shared" si="3"/>
        <v>49491</v>
      </c>
      <c r="T24" s="167">
        <f t="shared" si="3"/>
        <v>49857</v>
      </c>
      <c r="U24" s="167">
        <f t="shared" si="3"/>
        <v>50222</v>
      </c>
      <c r="V24" s="167">
        <f t="shared" si="3"/>
        <v>50587</v>
      </c>
      <c r="W24" s="167">
        <f t="shared" si="3"/>
        <v>50952</v>
      </c>
      <c r="X24" s="167">
        <f t="shared" si="3"/>
        <v>51318</v>
      </c>
      <c r="Y24" s="167">
        <f t="shared" si="3"/>
        <v>51683</v>
      </c>
      <c r="Z24" s="167">
        <f t="shared" si="3"/>
        <v>52048</v>
      </c>
      <c r="AA24" s="167">
        <f t="shared" si="3"/>
        <v>52413</v>
      </c>
      <c r="AB24" s="167">
        <f t="shared" si="3"/>
        <v>52779</v>
      </c>
      <c r="AC24" s="167">
        <f t="shared" si="3"/>
        <v>53144</v>
      </c>
      <c r="AD24" s="167">
        <f t="shared" si="3"/>
        <v>53509</v>
      </c>
      <c r="AE24" s="167">
        <f t="shared" si="3"/>
        <v>53874</v>
      </c>
      <c r="AF24" s="167">
        <f t="shared" si="3"/>
        <v>54240</v>
      </c>
      <c r="AG24" s="167">
        <f t="shared" si="3"/>
        <v>54605</v>
      </c>
      <c r="AH24" s="167">
        <f t="shared" si="3"/>
        <v>54970</v>
      </c>
      <c r="AI24" s="167">
        <f t="shared" si="3"/>
        <v>55335</v>
      </c>
      <c r="AJ24" s="167">
        <f t="shared" ref="AJ24:AJ25" si="4">DATE(YEAR(AI24)+1,MONTH(AI24),DAY(AI24))</f>
        <v>55701</v>
      </c>
      <c r="AK24" s="167">
        <f t="shared" ref="AK24:AK25" si="5">DATE(YEAR(AJ24)+1,MONTH(AJ24),DAY(AJ24))</f>
        <v>56066</v>
      </c>
      <c r="AL24" s="60"/>
      <c r="AM24" s="25"/>
      <c r="AN24" s="25"/>
      <c r="AO24" s="25"/>
      <c r="AP24" s="25"/>
      <c r="AQ24" s="25"/>
      <c r="AR24" s="25"/>
      <c r="AS24" s="25"/>
      <c r="AT24" s="25"/>
      <c r="AU24" s="25"/>
      <c r="AV24" s="25"/>
      <c r="AW24" s="25"/>
      <c r="AX24" s="25"/>
      <c r="AY24" s="25"/>
      <c r="AZ24" s="25"/>
    </row>
    <row r="25" spans="1:54" s="21" customFormat="1" ht="18" x14ac:dyDescent="0.5">
      <c r="A25" s="25"/>
      <c r="B25" s="25"/>
      <c r="C25" s="61" t="s">
        <v>14</v>
      </c>
      <c r="D25" s="62"/>
      <c r="E25" s="63"/>
      <c r="F25" s="63"/>
      <c r="G25" s="63"/>
      <c r="H25" s="167">
        <f>firstfinyearend</f>
        <v>45838</v>
      </c>
      <c r="I25" s="167">
        <f>DATE(YEAR(H25)+1,MONTH(H25),DAY(H25))</f>
        <v>46203</v>
      </c>
      <c r="J25" s="167">
        <f>DATE(YEAR(I25)+1,MONTH(I25),DAY(I25))</f>
        <v>46568</v>
      </c>
      <c r="K25" s="167">
        <f t="shared" si="3"/>
        <v>46934</v>
      </c>
      <c r="L25" s="167">
        <f t="shared" si="3"/>
        <v>47299</v>
      </c>
      <c r="M25" s="167">
        <f t="shared" si="3"/>
        <v>47664</v>
      </c>
      <c r="N25" s="167">
        <f t="shared" si="3"/>
        <v>48029</v>
      </c>
      <c r="O25" s="167">
        <f t="shared" si="3"/>
        <v>48395</v>
      </c>
      <c r="P25" s="167">
        <f t="shared" si="3"/>
        <v>48760</v>
      </c>
      <c r="Q25" s="167">
        <f t="shared" si="3"/>
        <v>49125</v>
      </c>
      <c r="R25" s="167">
        <f t="shared" si="3"/>
        <v>49490</v>
      </c>
      <c r="S25" s="167">
        <f t="shared" si="3"/>
        <v>49856</v>
      </c>
      <c r="T25" s="167">
        <f t="shared" si="3"/>
        <v>50221</v>
      </c>
      <c r="U25" s="167">
        <f t="shared" si="3"/>
        <v>50586</v>
      </c>
      <c r="V25" s="167">
        <f t="shared" si="3"/>
        <v>50951</v>
      </c>
      <c r="W25" s="167">
        <f t="shared" si="3"/>
        <v>51317</v>
      </c>
      <c r="X25" s="167">
        <f t="shared" si="3"/>
        <v>51682</v>
      </c>
      <c r="Y25" s="167">
        <f t="shared" si="3"/>
        <v>52047</v>
      </c>
      <c r="Z25" s="167">
        <f t="shared" si="3"/>
        <v>52412</v>
      </c>
      <c r="AA25" s="167">
        <f t="shared" si="3"/>
        <v>52778</v>
      </c>
      <c r="AB25" s="167">
        <f t="shared" si="3"/>
        <v>53143</v>
      </c>
      <c r="AC25" s="167">
        <f t="shared" si="3"/>
        <v>53508</v>
      </c>
      <c r="AD25" s="167">
        <f t="shared" si="3"/>
        <v>53873</v>
      </c>
      <c r="AE25" s="167">
        <f t="shared" si="3"/>
        <v>54239</v>
      </c>
      <c r="AF25" s="167">
        <f t="shared" si="3"/>
        <v>54604</v>
      </c>
      <c r="AG25" s="167">
        <f t="shared" si="3"/>
        <v>54969</v>
      </c>
      <c r="AH25" s="167">
        <f t="shared" si="3"/>
        <v>55334</v>
      </c>
      <c r="AI25" s="167">
        <f t="shared" si="3"/>
        <v>55700</v>
      </c>
      <c r="AJ25" s="167">
        <f t="shared" si="4"/>
        <v>56065</v>
      </c>
      <c r="AK25" s="167">
        <f t="shared" si="5"/>
        <v>56430</v>
      </c>
      <c r="AL25" s="60"/>
      <c r="AM25" s="25"/>
      <c r="AN25" s="25"/>
      <c r="AO25" s="25"/>
      <c r="AP25" s="25"/>
      <c r="AQ25" s="25"/>
      <c r="AR25" s="25"/>
      <c r="AS25" s="25"/>
      <c r="AT25" s="25"/>
      <c r="AU25" s="25"/>
      <c r="AV25" s="25"/>
      <c r="AW25" s="25"/>
      <c r="AX25" s="25"/>
      <c r="AY25" s="25"/>
      <c r="AZ25" s="25"/>
    </row>
    <row r="26" spans="1:54" s="21" customFormat="1" ht="18" x14ac:dyDescent="0.5">
      <c r="A26" s="25"/>
      <c r="B26" s="25"/>
      <c r="C26" s="64" t="s">
        <v>15</v>
      </c>
      <c r="D26" s="65"/>
      <c r="E26" s="63"/>
      <c r="F26" s="66"/>
      <c r="G26" s="66"/>
      <c r="H26" s="129">
        <f>_xlfn.DAYS(H25,H24)+1</f>
        <v>365</v>
      </c>
      <c r="I26" s="129">
        <f>_xlfn.DAYS(I25,I24)+1</f>
        <v>365</v>
      </c>
      <c r="J26" s="129">
        <f t="shared" ref="J26:AI26" si="6">_xlfn.DAYS(J25,J24)+1</f>
        <v>365</v>
      </c>
      <c r="K26" s="129">
        <f>_xlfn.DAYS(K25,K24)+1</f>
        <v>366</v>
      </c>
      <c r="L26" s="129">
        <f t="shared" si="6"/>
        <v>365</v>
      </c>
      <c r="M26" s="129">
        <f t="shared" si="6"/>
        <v>365</v>
      </c>
      <c r="N26" s="129">
        <f t="shared" si="6"/>
        <v>365</v>
      </c>
      <c r="O26" s="129">
        <f t="shared" si="6"/>
        <v>366</v>
      </c>
      <c r="P26" s="129">
        <f t="shared" si="6"/>
        <v>365</v>
      </c>
      <c r="Q26" s="129">
        <f t="shared" si="6"/>
        <v>365</v>
      </c>
      <c r="R26" s="129">
        <f t="shared" si="6"/>
        <v>365</v>
      </c>
      <c r="S26" s="129">
        <f t="shared" si="6"/>
        <v>366</v>
      </c>
      <c r="T26" s="129">
        <f t="shared" si="6"/>
        <v>365</v>
      </c>
      <c r="U26" s="129">
        <f t="shared" si="6"/>
        <v>365</v>
      </c>
      <c r="V26" s="129">
        <f t="shared" si="6"/>
        <v>365</v>
      </c>
      <c r="W26" s="129">
        <f t="shared" si="6"/>
        <v>366</v>
      </c>
      <c r="X26" s="129">
        <f t="shared" si="6"/>
        <v>365</v>
      </c>
      <c r="Y26" s="129">
        <f t="shared" si="6"/>
        <v>365</v>
      </c>
      <c r="Z26" s="129">
        <f t="shared" si="6"/>
        <v>365</v>
      </c>
      <c r="AA26" s="129">
        <f t="shared" si="6"/>
        <v>366</v>
      </c>
      <c r="AB26" s="129">
        <f t="shared" si="6"/>
        <v>365</v>
      </c>
      <c r="AC26" s="129">
        <f t="shared" si="6"/>
        <v>365</v>
      </c>
      <c r="AD26" s="129">
        <f t="shared" si="6"/>
        <v>365</v>
      </c>
      <c r="AE26" s="129">
        <f t="shared" si="6"/>
        <v>366</v>
      </c>
      <c r="AF26" s="129">
        <f t="shared" si="6"/>
        <v>365</v>
      </c>
      <c r="AG26" s="129">
        <f t="shared" si="6"/>
        <v>365</v>
      </c>
      <c r="AH26" s="129">
        <f t="shared" si="6"/>
        <v>365</v>
      </c>
      <c r="AI26" s="129">
        <f t="shared" si="6"/>
        <v>366</v>
      </c>
      <c r="AJ26" s="129">
        <f t="shared" ref="AJ26:AK26" si="7">_xlfn.DAYS(AJ25,AJ24)+1</f>
        <v>365</v>
      </c>
      <c r="AK26" s="129">
        <f t="shared" si="7"/>
        <v>365</v>
      </c>
      <c r="AL26" s="60"/>
      <c r="AM26" s="25"/>
      <c r="AN26" s="25"/>
      <c r="AO26" s="25"/>
      <c r="AP26" s="25"/>
      <c r="AQ26" s="25"/>
      <c r="AR26" s="25"/>
      <c r="AS26" s="25"/>
      <c r="AT26" s="25"/>
      <c r="AU26" s="25"/>
      <c r="AV26" s="25"/>
      <c r="AW26" s="25"/>
      <c r="AX26" s="25"/>
      <c r="AY26" s="25"/>
      <c r="AZ26" s="25"/>
    </row>
    <row r="27" spans="1:54" s="21" customFormat="1" ht="18" x14ac:dyDescent="0.5">
      <c r="A27" s="25"/>
      <c r="B27" s="25"/>
      <c r="C27" s="25"/>
      <c r="D27" s="25"/>
      <c r="E27" s="63"/>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60"/>
      <c r="AM27" s="25"/>
      <c r="AN27" s="25"/>
      <c r="AO27" s="25"/>
      <c r="AP27" s="25"/>
      <c r="AQ27" s="25"/>
      <c r="AR27" s="25"/>
      <c r="AS27" s="25"/>
      <c r="AT27" s="25"/>
      <c r="AU27" s="25"/>
      <c r="AV27" s="25"/>
      <c r="AW27" s="25"/>
      <c r="AX27" s="25"/>
      <c r="AY27" s="25"/>
      <c r="AZ27" s="25"/>
    </row>
    <row r="28" spans="1:54" s="67" customFormat="1" ht="32" thickBot="1" x14ac:dyDescent="0.9">
      <c r="A28" s="37"/>
      <c r="B28" s="74" t="s">
        <v>22</v>
      </c>
      <c r="C28" s="74"/>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37"/>
      <c r="AN28" s="37"/>
      <c r="AO28" s="37"/>
      <c r="AP28" s="25"/>
      <c r="AQ28" s="25"/>
      <c r="AR28" s="37"/>
      <c r="AS28" s="37"/>
      <c r="AT28" s="37"/>
      <c r="AU28" s="37"/>
      <c r="AV28" s="37"/>
      <c r="AW28" s="37"/>
      <c r="AX28" s="37"/>
      <c r="AY28" s="37"/>
      <c r="AZ28" s="37"/>
    </row>
    <row r="29" spans="1:54" s="67" customFormat="1" ht="18" x14ac:dyDescent="0.5">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25"/>
      <c r="AQ29" s="25"/>
      <c r="AR29" s="37"/>
      <c r="AS29" s="37"/>
      <c r="AT29" s="37"/>
      <c r="AU29" s="37"/>
      <c r="AV29" s="37"/>
      <c r="AW29" s="37"/>
      <c r="AX29" s="37"/>
      <c r="AY29" s="37"/>
      <c r="AZ29" s="37"/>
    </row>
    <row r="30" spans="1:54" s="21" customFormat="1" ht="18" x14ac:dyDescent="0.5">
      <c r="A30" s="25"/>
      <c r="B30" s="25"/>
      <c r="C30" s="168" t="str">
        <f>asset1name&amp;": existing cost"</f>
        <v>Network upgrade name: existing cost</v>
      </c>
      <c r="D30" s="25" t="s">
        <v>143</v>
      </c>
      <c r="E30" s="152" t="s">
        <v>144</v>
      </c>
      <c r="F30" s="25"/>
      <c r="G30" s="25"/>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25"/>
      <c r="AM30" s="25"/>
      <c r="AN30" s="25"/>
      <c r="AO30" s="25"/>
      <c r="AP30" s="25"/>
      <c r="AQ30" s="25"/>
      <c r="AR30" s="25"/>
      <c r="AS30" s="25"/>
      <c r="AT30" s="25"/>
      <c r="AU30" s="25"/>
      <c r="AV30" s="25"/>
      <c r="AW30" s="25"/>
      <c r="AX30" s="25"/>
      <c r="AY30" s="25"/>
      <c r="AZ30" s="25"/>
    </row>
    <row r="31" spans="1:54" s="67" customFormat="1" ht="18" x14ac:dyDescent="0.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25"/>
      <c r="AQ31" s="25"/>
      <c r="AR31" s="37"/>
      <c r="AS31" s="37"/>
      <c r="AT31" s="37"/>
      <c r="AU31" s="37"/>
      <c r="AV31" s="37"/>
      <c r="AW31" s="37"/>
      <c r="AX31" s="37"/>
      <c r="AY31" s="37"/>
      <c r="AZ31" s="37"/>
    </row>
    <row r="32" spans="1:54" s="67" customFormat="1" ht="18" x14ac:dyDescent="0.5">
      <c r="A32" s="37"/>
      <c r="B32" s="37"/>
      <c r="C32" s="169" t="str">
        <f>asset1name&amp;": volumes"</f>
        <v>Network upgrade name: volumes</v>
      </c>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25"/>
      <c r="AQ32" s="25"/>
      <c r="AR32" s="37"/>
      <c r="AS32" s="37"/>
      <c r="AT32" s="37"/>
      <c r="AU32" s="37"/>
      <c r="AV32" s="37"/>
      <c r="AW32" s="37"/>
      <c r="AX32" s="37"/>
      <c r="AY32" s="37"/>
      <c r="AZ32" s="37"/>
    </row>
    <row r="33" spans="1:52" s="67" customFormat="1" ht="18" x14ac:dyDescent="0.5">
      <c r="A33" s="37"/>
      <c r="B33" s="37"/>
      <c r="C33" s="50" t="s">
        <v>94</v>
      </c>
      <c r="D33" s="51" t="s">
        <v>35</v>
      </c>
      <c r="E33" s="52" t="s">
        <v>97</v>
      </c>
      <c r="F33" s="25"/>
      <c r="G33" s="25"/>
      <c r="H33" s="129">
        <f>H56</f>
        <v>0</v>
      </c>
      <c r="I33" s="129">
        <f t="shared" ref="I33:AK33" si="8">I56</f>
        <v>0</v>
      </c>
      <c r="J33" s="129">
        <f t="shared" si="8"/>
        <v>0</v>
      </c>
      <c r="K33" s="129">
        <f t="shared" si="8"/>
        <v>0</v>
      </c>
      <c r="L33" s="129">
        <f t="shared" si="8"/>
        <v>0</v>
      </c>
      <c r="M33" s="129">
        <f t="shared" si="8"/>
        <v>0</v>
      </c>
      <c r="N33" s="129">
        <f t="shared" si="8"/>
        <v>0</v>
      </c>
      <c r="O33" s="129">
        <f t="shared" si="8"/>
        <v>0</v>
      </c>
      <c r="P33" s="129">
        <f t="shared" si="8"/>
        <v>0</v>
      </c>
      <c r="Q33" s="129">
        <f t="shared" si="8"/>
        <v>0</v>
      </c>
      <c r="R33" s="129">
        <f t="shared" si="8"/>
        <v>0</v>
      </c>
      <c r="S33" s="129">
        <f t="shared" si="8"/>
        <v>0</v>
      </c>
      <c r="T33" s="129">
        <f t="shared" si="8"/>
        <v>0</v>
      </c>
      <c r="U33" s="129">
        <f t="shared" si="8"/>
        <v>0</v>
      </c>
      <c r="V33" s="129">
        <f t="shared" si="8"/>
        <v>0</v>
      </c>
      <c r="W33" s="129">
        <f t="shared" si="8"/>
        <v>0</v>
      </c>
      <c r="X33" s="129">
        <f t="shared" si="8"/>
        <v>0</v>
      </c>
      <c r="Y33" s="129">
        <f t="shared" si="8"/>
        <v>0</v>
      </c>
      <c r="Z33" s="129">
        <f t="shared" si="8"/>
        <v>0</v>
      </c>
      <c r="AA33" s="129">
        <f t="shared" si="8"/>
        <v>0</v>
      </c>
      <c r="AB33" s="129">
        <f t="shared" si="8"/>
        <v>0</v>
      </c>
      <c r="AC33" s="129">
        <f t="shared" si="8"/>
        <v>0</v>
      </c>
      <c r="AD33" s="129">
        <f t="shared" si="8"/>
        <v>0</v>
      </c>
      <c r="AE33" s="129">
        <f t="shared" si="8"/>
        <v>0</v>
      </c>
      <c r="AF33" s="129">
        <f t="shared" si="8"/>
        <v>0</v>
      </c>
      <c r="AG33" s="129">
        <f t="shared" si="8"/>
        <v>0</v>
      </c>
      <c r="AH33" s="129">
        <f t="shared" si="8"/>
        <v>0</v>
      </c>
      <c r="AI33" s="129">
        <f t="shared" si="8"/>
        <v>0</v>
      </c>
      <c r="AJ33" s="129">
        <f t="shared" si="8"/>
        <v>0</v>
      </c>
      <c r="AK33" s="129">
        <f t="shared" si="8"/>
        <v>0</v>
      </c>
      <c r="AL33" s="37"/>
      <c r="AM33" s="37"/>
      <c r="AN33" s="37"/>
      <c r="AO33" s="37"/>
      <c r="AP33" s="25"/>
      <c r="AQ33" s="25"/>
      <c r="AR33" s="37"/>
      <c r="AS33" s="37"/>
      <c r="AT33" s="37"/>
      <c r="AU33" s="37"/>
      <c r="AV33" s="37"/>
      <c r="AW33" s="37"/>
      <c r="AX33" s="37"/>
      <c r="AY33" s="37"/>
      <c r="AZ33" s="37"/>
    </row>
    <row r="34" spans="1:52" s="67" customFormat="1" ht="18" x14ac:dyDescent="0.5">
      <c r="A34" s="37"/>
      <c r="B34" s="37"/>
      <c r="C34" s="50" t="s">
        <v>95</v>
      </c>
      <c r="D34" s="51" t="s">
        <v>35</v>
      </c>
      <c r="E34" s="52"/>
      <c r="F34" s="25"/>
      <c r="G34" s="25"/>
      <c r="H34" s="129">
        <f>IF(H$23=ModelFYStart,H33,G34)</f>
        <v>0</v>
      </c>
      <c r="I34" s="129">
        <f>IF(I$23=ModelFYStart,I33,H34)</f>
        <v>0</v>
      </c>
      <c r="J34" s="129">
        <f t="shared" ref="J34:AK34" si="9">IF(J$23=ModelFYStart,J33,I34)</f>
        <v>0</v>
      </c>
      <c r="K34" s="129">
        <f t="shared" si="9"/>
        <v>0</v>
      </c>
      <c r="L34" s="129">
        <f t="shared" si="9"/>
        <v>0</v>
      </c>
      <c r="M34" s="129">
        <f t="shared" si="9"/>
        <v>0</v>
      </c>
      <c r="N34" s="129">
        <f t="shared" si="9"/>
        <v>0</v>
      </c>
      <c r="O34" s="129">
        <f t="shared" si="9"/>
        <v>0</v>
      </c>
      <c r="P34" s="129">
        <f t="shared" si="9"/>
        <v>0</v>
      </c>
      <c r="Q34" s="129">
        <f t="shared" si="9"/>
        <v>0</v>
      </c>
      <c r="R34" s="129">
        <f t="shared" si="9"/>
        <v>0</v>
      </c>
      <c r="S34" s="129">
        <f t="shared" si="9"/>
        <v>0</v>
      </c>
      <c r="T34" s="129">
        <f t="shared" si="9"/>
        <v>0</v>
      </c>
      <c r="U34" s="129">
        <f t="shared" si="9"/>
        <v>0</v>
      </c>
      <c r="V34" s="129">
        <f t="shared" si="9"/>
        <v>0</v>
      </c>
      <c r="W34" s="129">
        <f t="shared" si="9"/>
        <v>0</v>
      </c>
      <c r="X34" s="129">
        <f t="shared" si="9"/>
        <v>0</v>
      </c>
      <c r="Y34" s="129">
        <f t="shared" si="9"/>
        <v>0</v>
      </c>
      <c r="Z34" s="129">
        <f t="shared" si="9"/>
        <v>0</v>
      </c>
      <c r="AA34" s="129">
        <f t="shared" si="9"/>
        <v>0</v>
      </c>
      <c r="AB34" s="129">
        <f t="shared" si="9"/>
        <v>0</v>
      </c>
      <c r="AC34" s="129">
        <f t="shared" si="9"/>
        <v>0</v>
      </c>
      <c r="AD34" s="129">
        <f t="shared" si="9"/>
        <v>0</v>
      </c>
      <c r="AE34" s="129">
        <f t="shared" si="9"/>
        <v>0</v>
      </c>
      <c r="AF34" s="129">
        <f t="shared" si="9"/>
        <v>0</v>
      </c>
      <c r="AG34" s="129">
        <f t="shared" si="9"/>
        <v>0</v>
      </c>
      <c r="AH34" s="129">
        <f t="shared" si="9"/>
        <v>0</v>
      </c>
      <c r="AI34" s="129">
        <f t="shared" si="9"/>
        <v>0</v>
      </c>
      <c r="AJ34" s="129">
        <f t="shared" si="9"/>
        <v>0</v>
      </c>
      <c r="AK34" s="129">
        <f t="shared" si="9"/>
        <v>0</v>
      </c>
      <c r="AL34" s="37"/>
      <c r="AM34" s="37"/>
      <c r="AN34" s="37"/>
      <c r="AO34" s="37"/>
      <c r="AP34" s="25"/>
      <c r="AQ34" s="25"/>
      <c r="AR34" s="37"/>
      <c r="AS34" s="37"/>
      <c r="AT34" s="37"/>
      <c r="AU34" s="37"/>
      <c r="AV34" s="37"/>
      <c r="AW34" s="37"/>
      <c r="AX34" s="37"/>
      <c r="AY34" s="37"/>
      <c r="AZ34" s="37"/>
    </row>
    <row r="35" spans="1:52" s="67" customFormat="1" ht="18" x14ac:dyDescent="0.5">
      <c r="A35" s="37"/>
      <c r="B35" s="37"/>
      <c r="C35" s="50" t="s">
        <v>96</v>
      </c>
      <c r="D35" s="51" t="s">
        <v>35</v>
      </c>
      <c r="E35" s="52"/>
      <c r="F35" s="37"/>
      <c r="G35" s="37"/>
      <c r="H35" s="129">
        <f>H33+shocknetwork</f>
        <v>0</v>
      </c>
      <c r="I35" s="129">
        <f t="shared" ref="I35:AK35" si="10">I33+shocknetwork</f>
        <v>0</v>
      </c>
      <c r="J35" s="129">
        <f t="shared" si="10"/>
        <v>0</v>
      </c>
      <c r="K35" s="129">
        <f t="shared" si="10"/>
        <v>0</v>
      </c>
      <c r="L35" s="129">
        <f t="shared" si="10"/>
        <v>0</v>
      </c>
      <c r="M35" s="129">
        <f t="shared" si="10"/>
        <v>0</v>
      </c>
      <c r="N35" s="129">
        <f t="shared" si="10"/>
        <v>0</v>
      </c>
      <c r="O35" s="129">
        <f t="shared" si="10"/>
        <v>0</v>
      </c>
      <c r="P35" s="129">
        <f t="shared" si="10"/>
        <v>0</v>
      </c>
      <c r="Q35" s="129">
        <f t="shared" si="10"/>
        <v>0</v>
      </c>
      <c r="R35" s="129">
        <f t="shared" si="10"/>
        <v>0</v>
      </c>
      <c r="S35" s="129">
        <f t="shared" si="10"/>
        <v>0</v>
      </c>
      <c r="T35" s="129">
        <f t="shared" si="10"/>
        <v>0</v>
      </c>
      <c r="U35" s="129">
        <f t="shared" si="10"/>
        <v>0</v>
      </c>
      <c r="V35" s="129">
        <f t="shared" si="10"/>
        <v>0</v>
      </c>
      <c r="W35" s="129">
        <f t="shared" si="10"/>
        <v>0</v>
      </c>
      <c r="X35" s="129">
        <f t="shared" si="10"/>
        <v>0</v>
      </c>
      <c r="Y35" s="129">
        <f t="shared" si="10"/>
        <v>0</v>
      </c>
      <c r="Z35" s="129">
        <f t="shared" si="10"/>
        <v>0</v>
      </c>
      <c r="AA35" s="129">
        <f t="shared" si="10"/>
        <v>0</v>
      </c>
      <c r="AB35" s="129">
        <f t="shared" si="10"/>
        <v>0</v>
      </c>
      <c r="AC35" s="129">
        <f t="shared" si="10"/>
        <v>0</v>
      </c>
      <c r="AD35" s="129">
        <f t="shared" si="10"/>
        <v>0</v>
      </c>
      <c r="AE35" s="129">
        <f t="shared" si="10"/>
        <v>0</v>
      </c>
      <c r="AF35" s="129">
        <f t="shared" si="10"/>
        <v>0</v>
      </c>
      <c r="AG35" s="129">
        <f t="shared" si="10"/>
        <v>0</v>
      </c>
      <c r="AH35" s="129">
        <f t="shared" si="10"/>
        <v>0</v>
      </c>
      <c r="AI35" s="129">
        <f t="shared" si="10"/>
        <v>0</v>
      </c>
      <c r="AJ35" s="129">
        <f t="shared" si="10"/>
        <v>0</v>
      </c>
      <c r="AK35" s="129">
        <f t="shared" si="10"/>
        <v>0</v>
      </c>
      <c r="AL35" s="37"/>
      <c r="AM35" s="37"/>
      <c r="AN35" s="37"/>
      <c r="AO35" s="37"/>
      <c r="AP35" s="25"/>
      <c r="AQ35" s="25"/>
      <c r="AR35" s="37"/>
      <c r="AS35" s="37"/>
      <c r="AT35" s="37"/>
      <c r="AU35" s="37"/>
      <c r="AV35" s="37"/>
      <c r="AW35" s="37"/>
      <c r="AX35" s="37"/>
      <c r="AY35" s="37"/>
      <c r="AZ35" s="37"/>
    </row>
    <row r="36" spans="1:52" s="67" customFormat="1" ht="18" x14ac:dyDescent="0.5">
      <c r="A36" s="37"/>
      <c r="B36" s="37"/>
      <c r="C36" s="50"/>
      <c r="D36" s="51"/>
      <c r="E36" s="52"/>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25"/>
      <c r="AQ36" s="25"/>
      <c r="AR36" s="37"/>
      <c r="AS36" s="37"/>
      <c r="AT36" s="37"/>
      <c r="AU36" s="37"/>
      <c r="AV36" s="37"/>
      <c r="AW36" s="37"/>
      <c r="AX36" s="37"/>
      <c r="AY36" s="37"/>
      <c r="AZ36" s="37"/>
    </row>
    <row r="37" spans="1:52" s="21" customFormat="1" ht="18" x14ac:dyDescent="0.5">
      <c r="A37" s="25"/>
      <c r="B37" s="25"/>
      <c r="C37" s="168" t="str">
        <f>asset2name&amp;": existing cost"</f>
        <v>Sewerage treatment plant upgrade name: existing cost</v>
      </c>
      <c r="D37" s="25" t="s">
        <v>143</v>
      </c>
      <c r="E37" s="152" t="s">
        <v>145</v>
      </c>
      <c r="F37" s="25"/>
      <c r="G37" s="25"/>
      <c r="H37" s="160"/>
      <c r="I37" s="160"/>
      <c r="J37" s="160"/>
      <c r="K37" s="160"/>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25"/>
      <c r="AM37" s="25"/>
      <c r="AN37" s="25"/>
      <c r="AO37" s="25"/>
      <c r="AP37" s="25"/>
      <c r="AQ37" s="25"/>
      <c r="AR37" s="25"/>
      <c r="AS37" s="25"/>
      <c r="AT37" s="25"/>
      <c r="AU37" s="25"/>
      <c r="AV37" s="25"/>
      <c r="AW37" s="25"/>
      <c r="AX37" s="25"/>
      <c r="AY37" s="25"/>
      <c r="AZ37" s="25"/>
    </row>
    <row r="38" spans="1:52" s="67" customFormat="1" ht="18" x14ac:dyDescent="0.5">
      <c r="A38" s="37"/>
      <c r="B38" s="37"/>
      <c r="C38" s="50"/>
      <c r="D38" s="51"/>
      <c r="E38" s="52"/>
      <c r="F38" s="37"/>
      <c r="G38" s="37"/>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37"/>
      <c r="AM38" s="37"/>
      <c r="AN38" s="37"/>
      <c r="AO38" s="37"/>
      <c r="AP38" s="25"/>
      <c r="AQ38" s="25"/>
      <c r="AR38" s="37"/>
      <c r="AS38" s="37"/>
      <c r="AT38" s="37"/>
      <c r="AU38" s="37"/>
      <c r="AV38" s="37"/>
      <c r="AW38" s="37"/>
      <c r="AX38" s="37"/>
      <c r="AY38" s="37"/>
      <c r="AZ38" s="37"/>
    </row>
    <row r="39" spans="1:52" s="67" customFormat="1" ht="18" x14ac:dyDescent="0.5">
      <c r="A39" s="37"/>
      <c r="B39" s="37"/>
      <c r="C39" s="169" t="str">
        <f>asset2name&amp;": volumes"</f>
        <v>Sewerage treatment plant upgrade name: volumes</v>
      </c>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25"/>
      <c r="AQ39" s="25"/>
      <c r="AR39" s="37"/>
      <c r="AS39" s="37"/>
      <c r="AT39" s="37"/>
      <c r="AU39" s="37"/>
      <c r="AV39" s="37"/>
      <c r="AW39" s="37"/>
      <c r="AX39" s="37"/>
      <c r="AY39" s="37"/>
      <c r="AZ39" s="37"/>
    </row>
    <row r="40" spans="1:52" s="67" customFormat="1" ht="18" x14ac:dyDescent="0.5">
      <c r="A40" s="37"/>
      <c r="B40" s="37"/>
      <c r="C40" s="50" t="s">
        <v>94</v>
      </c>
      <c r="D40" s="51" t="s">
        <v>35</v>
      </c>
      <c r="E40" s="52" t="s">
        <v>98</v>
      </c>
      <c r="F40" s="25"/>
      <c r="G40" s="25"/>
      <c r="H40" s="129">
        <f>H62</f>
        <v>0</v>
      </c>
      <c r="I40" s="129">
        <f t="shared" ref="I40:AK40" si="11">I62</f>
        <v>0</v>
      </c>
      <c r="J40" s="129">
        <f t="shared" si="11"/>
        <v>0</v>
      </c>
      <c r="K40" s="129">
        <f t="shared" si="11"/>
        <v>0</v>
      </c>
      <c r="L40" s="129">
        <f t="shared" si="11"/>
        <v>0</v>
      </c>
      <c r="M40" s="129">
        <f t="shared" si="11"/>
        <v>0</v>
      </c>
      <c r="N40" s="129">
        <f t="shared" si="11"/>
        <v>0</v>
      </c>
      <c r="O40" s="129">
        <f t="shared" si="11"/>
        <v>0</v>
      </c>
      <c r="P40" s="129">
        <f t="shared" si="11"/>
        <v>0</v>
      </c>
      <c r="Q40" s="129">
        <f t="shared" si="11"/>
        <v>0</v>
      </c>
      <c r="R40" s="129">
        <f t="shared" si="11"/>
        <v>0</v>
      </c>
      <c r="S40" s="129">
        <f t="shared" si="11"/>
        <v>0</v>
      </c>
      <c r="T40" s="129">
        <f t="shared" si="11"/>
        <v>0</v>
      </c>
      <c r="U40" s="129">
        <f t="shared" si="11"/>
        <v>0</v>
      </c>
      <c r="V40" s="129">
        <f t="shared" si="11"/>
        <v>0</v>
      </c>
      <c r="W40" s="129">
        <f t="shared" si="11"/>
        <v>0</v>
      </c>
      <c r="X40" s="129">
        <f t="shared" si="11"/>
        <v>0</v>
      </c>
      <c r="Y40" s="129">
        <f t="shared" si="11"/>
        <v>0</v>
      </c>
      <c r="Z40" s="129">
        <f t="shared" si="11"/>
        <v>0</v>
      </c>
      <c r="AA40" s="129">
        <f t="shared" si="11"/>
        <v>0</v>
      </c>
      <c r="AB40" s="129">
        <f t="shared" si="11"/>
        <v>0</v>
      </c>
      <c r="AC40" s="129">
        <f t="shared" si="11"/>
        <v>0</v>
      </c>
      <c r="AD40" s="129">
        <f t="shared" si="11"/>
        <v>0</v>
      </c>
      <c r="AE40" s="129">
        <f t="shared" si="11"/>
        <v>0</v>
      </c>
      <c r="AF40" s="129">
        <f t="shared" si="11"/>
        <v>0</v>
      </c>
      <c r="AG40" s="129">
        <f t="shared" si="11"/>
        <v>0</v>
      </c>
      <c r="AH40" s="129">
        <f t="shared" si="11"/>
        <v>0</v>
      </c>
      <c r="AI40" s="129">
        <f t="shared" si="11"/>
        <v>0</v>
      </c>
      <c r="AJ40" s="129">
        <f t="shared" si="11"/>
        <v>0</v>
      </c>
      <c r="AK40" s="129">
        <f t="shared" si="11"/>
        <v>0</v>
      </c>
      <c r="AL40" s="37"/>
      <c r="AM40" s="37"/>
      <c r="AN40" s="37"/>
      <c r="AO40" s="37"/>
      <c r="AP40" s="25"/>
      <c r="AQ40" s="25"/>
      <c r="AR40" s="37"/>
      <c r="AS40" s="37"/>
      <c r="AT40" s="37"/>
      <c r="AU40" s="37"/>
      <c r="AV40" s="37"/>
      <c r="AW40" s="37"/>
      <c r="AX40" s="37"/>
      <c r="AY40" s="37"/>
      <c r="AZ40" s="37"/>
    </row>
    <row r="41" spans="1:52" s="67" customFormat="1" ht="18" x14ac:dyDescent="0.5">
      <c r="A41" s="37"/>
      <c r="B41" s="37"/>
      <c r="C41" s="50" t="s">
        <v>95</v>
      </c>
      <c r="D41" s="51" t="s">
        <v>35</v>
      </c>
      <c r="E41" s="52"/>
      <c r="F41" s="25"/>
      <c r="G41" s="25"/>
      <c r="H41" s="129">
        <f>IF(H$23=ModelFYStart,H40,G41)</f>
        <v>0</v>
      </c>
      <c r="I41" s="129">
        <f>IF(I$23=ModelFYStart,I40,H41)</f>
        <v>0</v>
      </c>
      <c r="J41" s="129">
        <f t="shared" ref="J41:AK41" si="12">IF(J$23=ModelFYStart,J40,I41)</f>
        <v>0</v>
      </c>
      <c r="K41" s="129">
        <f t="shared" si="12"/>
        <v>0</v>
      </c>
      <c r="L41" s="129">
        <f t="shared" si="12"/>
        <v>0</v>
      </c>
      <c r="M41" s="129">
        <f t="shared" si="12"/>
        <v>0</v>
      </c>
      <c r="N41" s="129">
        <f t="shared" si="12"/>
        <v>0</v>
      </c>
      <c r="O41" s="129">
        <f t="shared" si="12"/>
        <v>0</v>
      </c>
      <c r="P41" s="129">
        <f t="shared" si="12"/>
        <v>0</v>
      </c>
      <c r="Q41" s="129">
        <f t="shared" si="12"/>
        <v>0</v>
      </c>
      <c r="R41" s="129">
        <f t="shared" si="12"/>
        <v>0</v>
      </c>
      <c r="S41" s="129">
        <f t="shared" si="12"/>
        <v>0</v>
      </c>
      <c r="T41" s="129">
        <f t="shared" si="12"/>
        <v>0</v>
      </c>
      <c r="U41" s="129">
        <f t="shared" si="12"/>
        <v>0</v>
      </c>
      <c r="V41" s="129">
        <f t="shared" si="12"/>
        <v>0</v>
      </c>
      <c r="W41" s="129">
        <f t="shared" si="12"/>
        <v>0</v>
      </c>
      <c r="X41" s="129">
        <f t="shared" si="12"/>
        <v>0</v>
      </c>
      <c r="Y41" s="129">
        <f t="shared" si="12"/>
        <v>0</v>
      </c>
      <c r="Z41" s="129">
        <f t="shared" si="12"/>
        <v>0</v>
      </c>
      <c r="AA41" s="129">
        <f t="shared" si="12"/>
        <v>0</v>
      </c>
      <c r="AB41" s="129">
        <f t="shared" si="12"/>
        <v>0</v>
      </c>
      <c r="AC41" s="129">
        <f t="shared" si="12"/>
        <v>0</v>
      </c>
      <c r="AD41" s="129">
        <f t="shared" si="12"/>
        <v>0</v>
      </c>
      <c r="AE41" s="129">
        <f t="shared" si="12"/>
        <v>0</v>
      </c>
      <c r="AF41" s="129">
        <f t="shared" si="12"/>
        <v>0</v>
      </c>
      <c r="AG41" s="129">
        <f t="shared" si="12"/>
        <v>0</v>
      </c>
      <c r="AH41" s="129">
        <f t="shared" si="12"/>
        <v>0</v>
      </c>
      <c r="AI41" s="129">
        <f t="shared" si="12"/>
        <v>0</v>
      </c>
      <c r="AJ41" s="129">
        <f t="shared" si="12"/>
        <v>0</v>
      </c>
      <c r="AK41" s="129">
        <f t="shared" si="12"/>
        <v>0</v>
      </c>
      <c r="AL41" s="37"/>
      <c r="AM41" s="37"/>
      <c r="AN41" s="37"/>
      <c r="AO41" s="37"/>
      <c r="AP41" s="25"/>
      <c r="AQ41" s="25"/>
      <c r="AR41" s="37"/>
      <c r="AS41" s="37"/>
      <c r="AT41" s="37"/>
      <c r="AU41" s="37"/>
      <c r="AV41" s="37"/>
      <c r="AW41" s="37"/>
      <c r="AX41" s="37"/>
      <c r="AY41" s="37"/>
      <c r="AZ41" s="37"/>
    </row>
    <row r="42" spans="1:52" s="67" customFormat="1" ht="18" x14ac:dyDescent="0.5">
      <c r="A42" s="37"/>
      <c r="B42" s="37"/>
      <c r="C42" s="50" t="s">
        <v>96</v>
      </c>
      <c r="D42" s="51" t="s">
        <v>35</v>
      </c>
      <c r="E42" s="52"/>
      <c r="F42" s="37"/>
      <c r="G42" s="37"/>
      <c r="H42" s="129">
        <f>H40+shockSTP</f>
        <v>0</v>
      </c>
      <c r="I42" s="129">
        <f>I40+shockSTP</f>
        <v>0</v>
      </c>
      <c r="J42" s="129">
        <f t="shared" ref="J42:AK42" si="13">J40+shockSTP</f>
        <v>0</v>
      </c>
      <c r="K42" s="129">
        <f t="shared" si="13"/>
        <v>0</v>
      </c>
      <c r="L42" s="129">
        <f t="shared" si="13"/>
        <v>0</v>
      </c>
      <c r="M42" s="129">
        <f t="shared" si="13"/>
        <v>0</v>
      </c>
      <c r="N42" s="129">
        <f t="shared" si="13"/>
        <v>0</v>
      </c>
      <c r="O42" s="129">
        <f t="shared" si="13"/>
        <v>0</v>
      </c>
      <c r="P42" s="129">
        <f t="shared" si="13"/>
        <v>0</v>
      </c>
      <c r="Q42" s="129">
        <f t="shared" si="13"/>
        <v>0</v>
      </c>
      <c r="R42" s="129">
        <f t="shared" si="13"/>
        <v>0</v>
      </c>
      <c r="S42" s="129">
        <f t="shared" si="13"/>
        <v>0</v>
      </c>
      <c r="T42" s="129">
        <f t="shared" si="13"/>
        <v>0</v>
      </c>
      <c r="U42" s="129">
        <f t="shared" si="13"/>
        <v>0</v>
      </c>
      <c r="V42" s="129">
        <f t="shared" si="13"/>
        <v>0</v>
      </c>
      <c r="W42" s="129">
        <f t="shared" si="13"/>
        <v>0</v>
      </c>
      <c r="X42" s="129">
        <f t="shared" si="13"/>
        <v>0</v>
      </c>
      <c r="Y42" s="129">
        <f t="shared" si="13"/>
        <v>0</v>
      </c>
      <c r="Z42" s="129">
        <f t="shared" si="13"/>
        <v>0</v>
      </c>
      <c r="AA42" s="129">
        <f t="shared" si="13"/>
        <v>0</v>
      </c>
      <c r="AB42" s="129">
        <f t="shared" si="13"/>
        <v>0</v>
      </c>
      <c r="AC42" s="129">
        <f t="shared" si="13"/>
        <v>0</v>
      </c>
      <c r="AD42" s="129">
        <f t="shared" si="13"/>
        <v>0</v>
      </c>
      <c r="AE42" s="129">
        <f t="shared" si="13"/>
        <v>0</v>
      </c>
      <c r="AF42" s="129">
        <f t="shared" si="13"/>
        <v>0</v>
      </c>
      <c r="AG42" s="129">
        <f t="shared" si="13"/>
        <v>0</v>
      </c>
      <c r="AH42" s="129">
        <f t="shared" si="13"/>
        <v>0</v>
      </c>
      <c r="AI42" s="129">
        <f t="shared" si="13"/>
        <v>0</v>
      </c>
      <c r="AJ42" s="129">
        <f t="shared" si="13"/>
        <v>0</v>
      </c>
      <c r="AK42" s="129">
        <f t="shared" si="13"/>
        <v>0</v>
      </c>
      <c r="AL42" s="37"/>
      <c r="AM42" s="37"/>
      <c r="AN42" s="37"/>
      <c r="AO42" s="37"/>
      <c r="AP42" s="25"/>
      <c r="AQ42" s="25"/>
      <c r="AR42" s="37"/>
      <c r="AS42" s="37"/>
      <c r="AT42" s="37"/>
      <c r="AU42" s="37"/>
      <c r="AV42" s="37"/>
      <c r="AW42" s="37"/>
      <c r="AX42" s="37"/>
      <c r="AY42" s="37"/>
      <c r="AZ42" s="37"/>
    </row>
    <row r="43" spans="1:52" s="67" customFormat="1" ht="18" x14ac:dyDescent="0.5">
      <c r="A43" s="37"/>
      <c r="B43" s="37"/>
      <c r="C43" s="50"/>
      <c r="D43" s="51"/>
      <c r="E43" s="52"/>
      <c r="F43" s="37"/>
      <c r="G43" s="37"/>
      <c r="H43" s="153"/>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37"/>
      <c r="AM43" s="37"/>
      <c r="AN43" s="37"/>
      <c r="AO43" s="37"/>
      <c r="AP43" s="25"/>
      <c r="AQ43" s="25"/>
      <c r="AR43" s="37"/>
      <c r="AS43" s="37"/>
      <c r="AT43" s="37"/>
      <c r="AU43" s="37"/>
      <c r="AV43" s="37"/>
      <c r="AW43" s="37"/>
      <c r="AX43" s="37"/>
      <c r="AY43" s="37"/>
      <c r="AZ43" s="37"/>
    </row>
    <row r="44" spans="1:52" s="21" customFormat="1" ht="18" x14ac:dyDescent="0.5">
      <c r="A44" s="25"/>
      <c r="B44" s="25"/>
      <c r="C44" s="168" t="str">
        <f>asset2name&amp;": existing cost"</f>
        <v>Sewerage treatment plant upgrade name: existing cost</v>
      </c>
      <c r="D44" s="25" t="s">
        <v>143</v>
      </c>
      <c r="E44" s="152" t="s">
        <v>146</v>
      </c>
      <c r="F44" s="25"/>
      <c r="G44" s="25"/>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25"/>
      <c r="AM44" s="25"/>
      <c r="AN44" s="25"/>
      <c r="AO44" s="25"/>
      <c r="AP44" s="25"/>
      <c r="AQ44" s="25"/>
      <c r="AR44" s="25"/>
      <c r="AS44" s="25"/>
      <c r="AT44" s="25"/>
      <c r="AU44" s="25"/>
      <c r="AV44" s="25"/>
      <c r="AW44" s="25"/>
      <c r="AX44" s="25"/>
      <c r="AY44" s="25"/>
      <c r="AZ44" s="25"/>
    </row>
    <row r="45" spans="1:52" s="67" customFormat="1" ht="18" x14ac:dyDescent="0.5">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25"/>
      <c r="AQ45" s="25"/>
      <c r="AR45" s="37"/>
      <c r="AS45" s="37"/>
      <c r="AT45" s="37"/>
      <c r="AU45" s="37"/>
      <c r="AV45" s="37"/>
      <c r="AW45" s="37"/>
      <c r="AX45" s="37"/>
      <c r="AY45" s="37"/>
      <c r="AZ45" s="37"/>
    </row>
    <row r="46" spans="1:52" s="67" customFormat="1" ht="18" x14ac:dyDescent="0.5">
      <c r="A46" s="37"/>
      <c r="B46" s="37"/>
      <c r="C46" s="169" t="str">
        <f>asset3name&amp;": volumes"</f>
        <v>Discharge / ocean outfall upgrade name: volumes</v>
      </c>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25"/>
      <c r="AQ46" s="25"/>
      <c r="AR46" s="37"/>
      <c r="AS46" s="37"/>
      <c r="AT46" s="37"/>
      <c r="AU46" s="37"/>
      <c r="AV46" s="37"/>
      <c r="AW46" s="37"/>
      <c r="AX46" s="37"/>
      <c r="AY46" s="37"/>
      <c r="AZ46" s="37"/>
    </row>
    <row r="47" spans="1:52" s="67" customFormat="1" ht="18" x14ac:dyDescent="0.5">
      <c r="A47" s="37"/>
      <c r="B47" s="37"/>
      <c r="C47" s="50" t="s">
        <v>94</v>
      </c>
      <c r="D47" s="51" t="s">
        <v>35</v>
      </c>
      <c r="E47" s="52" t="s">
        <v>99</v>
      </c>
      <c r="F47" s="25"/>
      <c r="G47" s="25"/>
      <c r="H47" s="129">
        <f>H68</f>
        <v>0</v>
      </c>
      <c r="I47" s="129">
        <f t="shared" ref="I47:AK47" si="14">I68</f>
        <v>0</v>
      </c>
      <c r="J47" s="129">
        <f t="shared" si="14"/>
        <v>0</v>
      </c>
      <c r="K47" s="129">
        <f t="shared" si="14"/>
        <v>0</v>
      </c>
      <c r="L47" s="129">
        <f t="shared" si="14"/>
        <v>0</v>
      </c>
      <c r="M47" s="129">
        <f t="shared" si="14"/>
        <v>0</v>
      </c>
      <c r="N47" s="129">
        <f t="shared" si="14"/>
        <v>0</v>
      </c>
      <c r="O47" s="129">
        <f t="shared" si="14"/>
        <v>0</v>
      </c>
      <c r="P47" s="129">
        <f t="shared" si="14"/>
        <v>0</v>
      </c>
      <c r="Q47" s="129">
        <f t="shared" si="14"/>
        <v>0</v>
      </c>
      <c r="R47" s="129">
        <f t="shared" si="14"/>
        <v>0</v>
      </c>
      <c r="S47" s="129">
        <f t="shared" si="14"/>
        <v>0</v>
      </c>
      <c r="T47" s="129">
        <f t="shared" si="14"/>
        <v>0</v>
      </c>
      <c r="U47" s="129">
        <f t="shared" si="14"/>
        <v>0</v>
      </c>
      <c r="V47" s="129">
        <f t="shared" si="14"/>
        <v>0</v>
      </c>
      <c r="W47" s="129">
        <f t="shared" si="14"/>
        <v>0</v>
      </c>
      <c r="X47" s="129">
        <f t="shared" si="14"/>
        <v>0</v>
      </c>
      <c r="Y47" s="129">
        <f t="shared" si="14"/>
        <v>0</v>
      </c>
      <c r="Z47" s="129">
        <f t="shared" si="14"/>
        <v>0</v>
      </c>
      <c r="AA47" s="129">
        <f t="shared" si="14"/>
        <v>0</v>
      </c>
      <c r="AB47" s="129">
        <f t="shared" si="14"/>
        <v>0</v>
      </c>
      <c r="AC47" s="129">
        <f t="shared" si="14"/>
        <v>0</v>
      </c>
      <c r="AD47" s="129">
        <f t="shared" si="14"/>
        <v>0</v>
      </c>
      <c r="AE47" s="129">
        <f t="shared" si="14"/>
        <v>0</v>
      </c>
      <c r="AF47" s="129">
        <f t="shared" si="14"/>
        <v>0</v>
      </c>
      <c r="AG47" s="129">
        <f t="shared" si="14"/>
        <v>0</v>
      </c>
      <c r="AH47" s="129">
        <f t="shared" si="14"/>
        <v>0</v>
      </c>
      <c r="AI47" s="129">
        <f t="shared" si="14"/>
        <v>0</v>
      </c>
      <c r="AJ47" s="129">
        <f t="shared" si="14"/>
        <v>0</v>
      </c>
      <c r="AK47" s="129">
        <f t="shared" si="14"/>
        <v>0</v>
      </c>
      <c r="AL47" s="37"/>
      <c r="AM47" s="37"/>
      <c r="AN47" s="37"/>
      <c r="AO47" s="37"/>
      <c r="AP47" s="25"/>
      <c r="AQ47" s="25"/>
      <c r="AR47" s="37"/>
      <c r="AS47" s="37"/>
      <c r="AT47" s="37"/>
      <c r="AU47" s="37"/>
      <c r="AV47" s="37"/>
      <c r="AW47" s="37"/>
      <c r="AX47" s="37"/>
      <c r="AY47" s="37"/>
      <c r="AZ47" s="37"/>
    </row>
    <row r="48" spans="1:52" s="67" customFormat="1" ht="18" x14ac:dyDescent="0.5">
      <c r="A48" s="37"/>
      <c r="B48" s="37"/>
      <c r="C48" s="50" t="s">
        <v>95</v>
      </c>
      <c r="D48" s="51" t="s">
        <v>35</v>
      </c>
      <c r="E48" s="52"/>
      <c r="F48" s="25"/>
      <c r="G48" s="25"/>
      <c r="H48" s="129">
        <f>IF(H$23=ModelFYStart,H47,G48)</f>
        <v>0</v>
      </c>
      <c r="I48" s="129">
        <f>IF(I$23=ModelFYStart,I47,H48)</f>
        <v>0</v>
      </c>
      <c r="J48" s="129">
        <f t="shared" ref="J48:AK48" si="15">IF(J$23=ModelFYStart,J47,I48)</f>
        <v>0</v>
      </c>
      <c r="K48" s="129">
        <f t="shared" si="15"/>
        <v>0</v>
      </c>
      <c r="L48" s="129">
        <f t="shared" si="15"/>
        <v>0</v>
      </c>
      <c r="M48" s="129">
        <f t="shared" si="15"/>
        <v>0</v>
      </c>
      <c r="N48" s="129">
        <f t="shared" si="15"/>
        <v>0</v>
      </c>
      <c r="O48" s="129">
        <f t="shared" si="15"/>
        <v>0</v>
      </c>
      <c r="P48" s="129">
        <f t="shared" si="15"/>
        <v>0</v>
      </c>
      <c r="Q48" s="129">
        <f t="shared" si="15"/>
        <v>0</v>
      </c>
      <c r="R48" s="129">
        <f t="shared" si="15"/>
        <v>0</v>
      </c>
      <c r="S48" s="129">
        <f t="shared" si="15"/>
        <v>0</v>
      </c>
      <c r="T48" s="129">
        <f t="shared" si="15"/>
        <v>0</v>
      </c>
      <c r="U48" s="129">
        <f t="shared" si="15"/>
        <v>0</v>
      </c>
      <c r="V48" s="129">
        <f t="shared" si="15"/>
        <v>0</v>
      </c>
      <c r="W48" s="129">
        <f t="shared" si="15"/>
        <v>0</v>
      </c>
      <c r="X48" s="129">
        <f t="shared" si="15"/>
        <v>0</v>
      </c>
      <c r="Y48" s="129">
        <f t="shared" si="15"/>
        <v>0</v>
      </c>
      <c r="Z48" s="129">
        <f t="shared" si="15"/>
        <v>0</v>
      </c>
      <c r="AA48" s="129">
        <f t="shared" si="15"/>
        <v>0</v>
      </c>
      <c r="AB48" s="129">
        <f t="shared" si="15"/>
        <v>0</v>
      </c>
      <c r="AC48" s="129">
        <f t="shared" si="15"/>
        <v>0</v>
      </c>
      <c r="AD48" s="129">
        <f t="shared" si="15"/>
        <v>0</v>
      </c>
      <c r="AE48" s="129">
        <f t="shared" si="15"/>
        <v>0</v>
      </c>
      <c r="AF48" s="129">
        <f t="shared" si="15"/>
        <v>0</v>
      </c>
      <c r="AG48" s="129">
        <f t="shared" si="15"/>
        <v>0</v>
      </c>
      <c r="AH48" s="129">
        <f t="shared" si="15"/>
        <v>0</v>
      </c>
      <c r="AI48" s="129">
        <f t="shared" si="15"/>
        <v>0</v>
      </c>
      <c r="AJ48" s="129">
        <f t="shared" si="15"/>
        <v>0</v>
      </c>
      <c r="AK48" s="129">
        <f t="shared" si="15"/>
        <v>0</v>
      </c>
      <c r="AL48" s="37"/>
      <c r="AM48" s="37"/>
      <c r="AN48" s="37"/>
      <c r="AO48" s="37"/>
      <c r="AP48" s="25"/>
      <c r="AQ48" s="25"/>
      <c r="AR48" s="37"/>
      <c r="AS48" s="37"/>
      <c r="AT48" s="37"/>
      <c r="AU48" s="37"/>
      <c r="AV48" s="37"/>
      <c r="AW48" s="37"/>
      <c r="AX48" s="37"/>
      <c r="AY48" s="37"/>
      <c r="AZ48" s="37"/>
    </row>
    <row r="49" spans="1:55" s="67" customFormat="1" ht="18" x14ac:dyDescent="0.5">
      <c r="A49" s="37"/>
      <c r="B49" s="37"/>
      <c r="C49" s="50" t="s">
        <v>96</v>
      </c>
      <c r="D49" s="51" t="s">
        <v>35</v>
      </c>
      <c r="E49" s="52"/>
      <c r="F49" s="37"/>
      <c r="G49" s="37"/>
      <c r="H49" s="129">
        <f>H47+shockdischarge</f>
        <v>0</v>
      </c>
      <c r="I49" s="129">
        <f t="shared" ref="I49:AK49" si="16">I47+shockdischarge</f>
        <v>0</v>
      </c>
      <c r="J49" s="129">
        <f t="shared" si="16"/>
        <v>0</v>
      </c>
      <c r="K49" s="129">
        <f t="shared" si="16"/>
        <v>0</v>
      </c>
      <c r="L49" s="129">
        <f t="shared" si="16"/>
        <v>0</v>
      </c>
      <c r="M49" s="129">
        <f t="shared" si="16"/>
        <v>0</v>
      </c>
      <c r="N49" s="129">
        <f t="shared" si="16"/>
        <v>0</v>
      </c>
      <c r="O49" s="129">
        <f t="shared" si="16"/>
        <v>0</v>
      </c>
      <c r="P49" s="129">
        <f t="shared" si="16"/>
        <v>0</v>
      </c>
      <c r="Q49" s="129">
        <f t="shared" si="16"/>
        <v>0</v>
      </c>
      <c r="R49" s="129">
        <f t="shared" si="16"/>
        <v>0</v>
      </c>
      <c r="S49" s="129">
        <f t="shared" si="16"/>
        <v>0</v>
      </c>
      <c r="T49" s="129">
        <f t="shared" si="16"/>
        <v>0</v>
      </c>
      <c r="U49" s="129">
        <f t="shared" si="16"/>
        <v>0</v>
      </c>
      <c r="V49" s="129">
        <f t="shared" si="16"/>
        <v>0</v>
      </c>
      <c r="W49" s="129">
        <f t="shared" si="16"/>
        <v>0</v>
      </c>
      <c r="X49" s="129">
        <f t="shared" si="16"/>
        <v>0</v>
      </c>
      <c r="Y49" s="129">
        <f t="shared" si="16"/>
        <v>0</v>
      </c>
      <c r="Z49" s="129">
        <f t="shared" si="16"/>
        <v>0</v>
      </c>
      <c r="AA49" s="129">
        <f t="shared" si="16"/>
        <v>0</v>
      </c>
      <c r="AB49" s="129">
        <f t="shared" si="16"/>
        <v>0</v>
      </c>
      <c r="AC49" s="129">
        <f t="shared" si="16"/>
        <v>0</v>
      </c>
      <c r="AD49" s="129">
        <f t="shared" si="16"/>
        <v>0</v>
      </c>
      <c r="AE49" s="129">
        <f t="shared" si="16"/>
        <v>0</v>
      </c>
      <c r="AF49" s="129">
        <f t="shared" si="16"/>
        <v>0</v>
      </c>
      <c r="AG49" s="129">
        <f t="shared" si="16"/>
        <v>0</v>
      </c>
      <c r="AH49" s="129">
        <f t="shared" si="16"/>
        <v>0</v>
      </c>
      <c r="AI49" s="129">
        <f t="shared" si="16"/>
        <v>0</v>
      </c>
      <c r="AJ49" s="129">
        <f t="shared" si="16"/>
        <v>0</v>
      </c>
      <c r="AK49" s="129">
        <f t="shared" si="16"/>
        <v>0</v>
      </c>
      <c r="AL49" s="37"/>
      <c r="AM49" s="37"/>
      <c r="AN49" s="37"/>
      <c r="AO49" s="37"/>
      <c r="AP49" s="25"/>
      <c r="AQ49" s="25"/>
      <c r="AR49" s="37"/>
      <c r="AS49" s="37"/>
      <c r="AT49" s="37"/>
      <c r="AU49" s="37"/>
      <c r="AV49" s="37"/>
      <c r="AW49" s="37"/>
      <c r="AX49" s="37"/>
      <c r="AY49" s="37"/>
      <c r="AZ49" s="37"/>
    </row>
    <row r="50" spans="1:55" s="67" customFormat="1" ht="18" x14ac:dyDescent="0.5">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25"/>
      <c r="AQ50" s="25"/>
      <c r="AR50" s="37"/>
      <c r="AS50" s="37"/>
      <c r="AT50" s="37"/>
      <c r="AU50" s="37"/>
      <c r="AV50" s="37"/>
      <c r="AW50" s="37"/>
      <c r="AX50" s="37"/>
      <c r="AY50" s="37"/>
      <c r="AZ50" s="37"/>
    </row>
    <row r="51" spans="1:55" s="67" customFormat="1" ht="18" x14ac:dyDescent="0.5">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25"/>
      <c r="AQ51" s="25"/>
      <c r="AR51" s="37"/>
      <c r="AS51" s="37"/>
      <c r="AT51" s="37"/>
      <c r="AU51" s="37"/>
      <c r="AV51" s="37"/>
      <c r="AW51" s="37"/>
      <c r="AX51" s="37"/>
      <c r="AY51" s="37"/>
      <c r="AZ51" s="37"/>
    </row>
    <row r="52" spans="1:55" s="68" customFormat="1" ht="25.5" x14ac:dyDescent="0.7">
      <c r="A52" s="25"/>
      <c r="B52" s="75" t="s">
        <v>93</v>
      </c>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25"/>
      <c r="AN52" s="25"/>
      <c r="AO52" s="25"/>
      <c r="AP52" s="25"/>
      <c r="AQ52" s="25"/>
      <c r="AR52" s="25"/>
      <c r="AS52" s="25"/>
      <c r="AT52" s="25"/>
      <c r="AU52" s="25"/>
      <c r="AV52" s="25"/>
      <c r="AW52" s="25"/>
      <c r="AX52" s="25"/>
      <c r="AY52" s="25"/>
      <c r="AZ52" s="25"/>
      <c r="BA52" s="21"/>
      <c r="BB52" s="21"/>
      <c r="BC52" s="21"/>
    </row>
    <row r="53" spans="1:55" s="67" customFormat="1" ht="18" x14ac:dyDescent="0.5">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25"/>
      <c r="AQ53" s="25"/>
      <c r="AR53" s="37"/>
      <c r="AS53" s="37"/>
      <c r="AT53" s="37"/>
      <c r="AU53" s="37"/>
      <c r="AV53" s="37"/>
      <c r="AW53" s="37"/>
      <c r="AX53" s="37"/>
      <c r="AY53" s="37"/>
      <c r="AZ53" s="37"/>
    </row>
    <row r="54" spans="1:55" s="21" customFormat="1" ht="17.5" customHeight="1" x14ac:dyDescent="0.5">
      <c r="A54" s="25"/>
      <c r="B54" s="69" t="s">
        <v>52</v>
      </c>
      <c r="C54" s="73"/>
      <c r="D54" s="70"/>
      <c r="E54" s="71"/>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37"/>
      <c r="AS54" s="25"/>
      <c r="AT54" s="25"/>
      <c r="AU54" s="25"/>
      <c r="AV54" s="25"/>
      <c r="AW54" s="25"/>
      <c r="AX54" s="25"/>
      <c r="AY54" s="25"/>
      <c r="AZ54" s="25"/>
    </row>
    <row r="55" spans="1:55" s="21" customFormat="1" ht="18" x14ac:dyDescent="0.5">
      <c r="A55" s="25"/>
      <c r="B55" s="25"/>
      <c r="C55" s="26"/>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37"/>
      <c r="AS55" s="25"/>
      <c r="AT55" s="25"/>
      <c r="AU55" s="25"/>
      <c r="AV55" s="25"/>
      <c r="AW55" s="25"/>
      <c r="AX55" s="25"/>
      <c r="AY55" s="25"/>
      <c r="AZ55" s="25"/>
    </row>
    <row r="56" spans="1:55" s="21" customFormat="1" ht="18" x14ac:dyDescent="0.5">
      <c r="A56" s="25"/>
      <c r="B56" s="25"/>
      <c r="C56" s="124" t="str">
        <f>asset1name&amp;": volumes"</f>
        <v>Network upgrade name: volumes</v>
      </c>
      <c r="D56" s="51" t="s">
        <v>35</v>
      </c>
      <c r="E56" s="25"/>
      <c r="F56" s="25"/>
      <c r="G56" s="25"/>
      <c r="H56" s="129">
        <f>INDEX($H58:$AK60,MATCH(volumesensitivity,$C58:$C60,0),MATCH(H$23,years,0))</f>
        <v>0</v>
      </c>
      <c r="I56" s="129">
        <f t="shared" ref="I56:AK56" si="17">INDEX($H58:$AK60,MATCH(volumesensitivity,$C58:$C60,0),MATCH(I$23,years,0))</f>
        <v>0</v>
      </c>
      <c r="J56" s="129">
        <f t="shared" si="17"/>
        <v>0</v>
      </c>
      <c r="K56" s="129">
        <f t="shared" si="17"/>
        <v>0</v>
      </c>
      <c r="L56" s="129">
        <f t="shared" si="17"/>
        <v>0</v>
      </c>
      <c r="M56" s="129">
        <f t="shared" si="17"/>
        <v>0</v>
      </c>
      <c r="N56" s="129">
        <f t="shared" si="17"/>
        <v>0</v>
      </c>
      <c r="O56" s="129">
        <f t="shared" si="17"/>
        <v>0</v>
      </c>
      <c r="P56" s="129">
        <f t="shared" si="17"/>
        <v>0</v>
      </c>
      <c r="Q56" s="129">
        <f t="shared" si="17"/>
        <v>0</v>
      </c>
      <c r="R56" s="129">
        <f t="shared" si="17"/>
        <v>0</v>
      </c>
      <c r="S56" s="129">
        <f t="shared" si="17"/>
        <v>0</v>
      </c>
      <c r="T56" s="129">
        <f t="shared" si="17"/>
        <v>0</v>
      </c>
      <c r="U56" s="129">
        <f t="shared" si="17"/>
        <v>0</v>
      </c>
      <c r="V56" s="129">
        <f t="shared" si="17"/>
        <v>0</v>
      </c>
      <c r="W56" s="129">
        <f t="shared" si="17"/>
        <v>0</v>
      </c>
      <c r="X56" s="129">
        <f t="shared" si="17"/>
        <v>0</v>
      </c>
      <c r="Y56" s="129">
        <f t="shared" si="17"/>
        <v>0</v>
      </c>
      <c r="Z56" s="129">
        <f t="shared" si="17"/>
        <v>0</v>
      </c>
      <c r="AA56" s="129">
        <f t="shared" si="17"/>
        <v>0</v>
      </c>
      <c r="AB56" s="129">
        <f t="shared" si="17"/>
        <v>0</v>
      </c>
      <c r="AC56" s="129">
        <f t="shared" si="17"/>
        <v>0</v>
      </c>
      <c r="AD56" s="129">
        <f t="shared" si="17"/>
        <v>0</v>
      </c>
      <c r="AE56" s="129">
        <f t="shared" si="17"/>
        <v>0</v>
      </c>
      <c r="AF56" s="129">
        <f t="shared" si="17"/>
        <v>0</v>
      </c>
      <c r="AG56" s="129">
        <f t="shared" si="17"/>
        <v>0</v>
      </c>
      <c r="AH56" s="129">
        <f t="shared" si="17"/>
        <v>0</v>
      </c>
      <c r="AI56" s="129">
        <f t="shared" si="17"/>
        <v>0</v>
      </c>
      <c r="AJ56" s="129">
        <f t="shared" si="17"/>
        <v>0</v>
      </c>
      <c r="AK56" s="129">
        <f t="shared" si="17"/>
        <v>0</v>
      </c>
      <c r="AL56" s="25"/>
      <c r="AM56" s="25"/>
      <c r="AN56" s="25"/>
      <c r="AO56" s="25"/>
      <c r="AP56" s="25"/>
      <c r="AQ56" s="25"/>
      <c r="AR56" s="37"/>
      <c r="AS56" s="25"/>
      <c r="AT56" s="25"/>
      <c r="AU56" s="25"/>
      <c r="AV56" s="25"/>
      <c r="AW56" s="25"/>
      <c r="AX56" s="25"/>
      <c r="AY56" s="25"/>
      <c r="AZ56" s="25"/>
    </row>
    <row r="57" spans="1:55" s="21" customFormat="1" ht="18" x14ac:dyDescent="0.5">
      <c r="A57" s="25"/>
      <c r="B57" s="25"/>
      <c r="C57" s="25"/>
      <c r="D57" s="51"/>
      <c r="E57" s="25"/>
      <c r="F57" s="25"/>
      <c r="G57" s="25"/>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25"/>
      <c r="AM57" s="25"/>
      <c r="AN57" s="25"/>
      <c r="AO57" s="25"/>
      <c r="AP57" s="25"/>
      <c r="AQ57" s="25"/>
      <c r="AR57" s="25"/>
      <c r="AS57" s="25"/>
      <c r="AT57" s="25"/>
      <c r="AU57" s="25"/>
      <c r="AV57" s="25"/>
      <c r="AW57" s="25"/>
      <c r="AX57" s="25"/>
      <c r="AY57" s="25"/>
      <c r="AZ57" s="25"/>
    </row>
    <row r="58" spans="1:55" s="21" customFormat="1" ht="18" x14ac:dyDescent="0.5">
      <c r="A58" s="25"/>
      <c r="B58" s="25"/>
      <c r="C58" s="126" t="s">
        <v>43</v>
      </c>
      <c r="D58" s="51" t="s">
        <v>35</v>
      </c>
      <c r="E58" s="25"/>
      <c r="F58" s="25"/>
      <c r="G58" s="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25"/>
      <c r="AM58" s="25"/>
      <c r="AN58" s="25"/>
      <c r="AO58" s="25"/>
      <c r="AP58" s="25"/>
      <c r="AQ58" s="25"/>
      <c r="AR58" s="25"/>
      <c r="AS58" s="25"/>
      <c r="AT58" s="25"/>
      <c r="AU58" s="25"/>
      <c r="AV58" s="25"/>
      <c r="AW58" s="25"/>
      <c r="AX58" s="25"/>
      <c r="AY58" s="25"/>
      <c r="AZ58" s="25"/>
    </row>
    <row r="59" spans="1:55" s="21" customFormat="1" ht="18" x14ac:dyDescent="0.5">
      <c r="A59" s="25"/>
      <c r="B59" s="25"/>
      <c r="C59" s="126" t="s">
        <v>44</v>
      </c>
      <c r="D59" s="51" t="s">
        <v>35</v>
      </c>
      <c r="E59" s="25"/>
      <c r="F59" s="25"/>
      <c r="G59" s="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25"/>
      <c r="AM59" s="25"/>
      <c r="AN59" s="25"/>
      <c r="AO59" s="25"/>
      <c r="AP59" s="25"/>
      <c r="AQ59" s="25"/>
      <c r="AR59" s="25"/>
      <c r="AS59" s="25"/>
      <c r="AT59" s="25"/>
      <c r="AU59" s="25"/>
      <c r="AV59" s="25"/>
      <c r="AW59" s="25"/>
      <c r="AX59" s="25"/>
      <c r="AY59" s="25"/>
      <c r="AZ59" s="25"/>
    </row>
    <row r="60" spans="1:55" s="21" customFormat="1" ht="18" x14ac:dyDescent="0.5">
      <c r="A60" s="25"/>
      <c r="B60" s="25"/>
      <c r="C60" s="126" t="s">
        <v>45</v>
      </c>
      <c r="D60" s="51" t="s">
        <v>35</v>
      </c>
      <c r="E60" s="25"/>
      <c r="F60" s="25"/>
      <c r="G60" s="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25"/>
      <c r="AM60" s="25"/>
      <c r="AN60" s="25"/>
      <c r="AO60" s="25"/>
      <c r="AP60" s="25"/>
      <c r="AQ60" s="25"/>
      <c r="AR60" s="25"/>
      <c r="AS60" s="25"/>
      <c r="AT60" s="25"/>
      <c r="AU60" s="25"/>
      <c r="AV60" s="25"/>
      <c r="AW60" s="25"/>
      <c r="AX60" s="25"/>
      <c r="AY60" s="25"/>
      <c r="AZ60" s="25"/>
    </row>
    <row r="61" spans="1:55" s="21" customFormat="1" ht="18" x14ac:dyDescent="0.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row>
    <row r="62" spans="1:55" s="21" customFormat="1" ht="18" x14ac:dyDescent="0.5">
      <c r="A62" s="25"/>
      <c r="B62" s="25"/>
      <c r="C62" s="124" t="str">
        <f>asset2name&amp;": volumes"</f>
        <v>Sewerage treatment plant upgrade name: volumes</v>
      </c>
      <c r="D62" s="51" t="s">
        <v>35</v>
      </c>
      <c r="E62" s="25"/>
      <c r="F62" s="25"/>
      <c r="G62" s="25"/>
      <c r="H62" s="129">
        <f t="shared" ref="H62:AK62" si="18">INDEX($H64:$AK66,MATCH(volumesensitivity,$C64:$C66,0),MATCH(H$23,years,0))</f>
        <v>0</v>
      </c>
      <c r="I62" s="129">
        <f t="shared" si="18"/>
        <v>0</v>
      </c>
      <c r="J62" s="129">
        <f t="shared" si="18"/>
        <v>0</v>
      </c>
      <c r="K62" s="129">
        <f t="shared" si="18"/>
        <v>0</v>
      </c>
      <c r="L62" s="129">
        <f t="shared" si="18"/>
        <v>0</v>
      </c>
      <c r="M62" s="129">
        <f t="shared" si="18"/>
        <v>0</v>
      </c>
      <c r="N62" s="129">
        <f t="shared" si="18"/>
        <v>0</v>
      </c>
      <c r="O62" s="129">
        <f t="shared" si="18"/>
        <v>0</v>
      </c>
      <c r="P62" s="129">
        <f t="shared" si="18"/>
        <v>0</v>
      </c>
      <c r="Q62" s="129">
        <f t="shared" si="18"/>
        <v>0</v>
      </c>
      <c r="R62" s="129">
        <f t="shared" si="18"/>
        <v>0</v>
      </c>
      <c r="S62" s="129">
        <f t="shared" si="18"/>
        <v>0</v>
      </c>
      <c r="T62" s="129">
        <f t="shared" si="18"/>
        <v>0</v>
      </c>
      <c r="U62" s="129">
        <f t="shared" si="18"/>
        <v>0</v>
      </c>
      <c r="V62" s="129">
        <f t="shared" si="18"/>
        <v>0</v>
      </c>
      <c r="W62" s="129">
        <f t="shared" si="18"/>
        <v>0</v>
      </c>
      <c r="X62" s="129">
        <f t="shared" si="18"/>
        <v>0</v>
      </c>
      <c r="Y62" s="129">
        <f t="shared" si="18"/>
        <v>0</v>
      </c>
      <c r="Z62" s="129">
        <f t="shared" si="18"/>
        <v>0</v>
      </c>
      <c r="AA62" s="129">
        <f t="shared" si="18"/>
        <v>0</v>
      </c>
      <c r="AB62" s="129">
        <f t="shared" si="18"/>
        <v>0</v>
      </c>
      <c r="AC62" s="129">
        <f t="shared" si="18"/>
        <v>0</v>
      </c>
      <c r="AD62" s="129">
        <f t="shared" si="18"/>
        <v>0</v>
      </c>
      <c r="AE62" s="129">
        <f t="shared" si="18"/>
        <v>0</v>
      </c>
      <c r="AF62" s="129">
        <f t="shared" si="18"/>
        <v>0</v>
      </c>
      <c r="AG62" s="129">
        <f t="shared" si="18"/>
        <v>0</v>
      </c>
      <c r="AH62" s="129">
        <f t="shared" si="18"/>
        <v>0</v>
      </c>
      <c r="AI62" s="129">
        <f t="shared" si="18"/>
        <v>0</v>
      </c>
      <c r="AJ62" s="129">
        <f t="shared" si="18"/>
        <v>0</v>
      </c>
      <c r="AK62" s="129">
        <f t="shared" si="18"/>
        <v>0</v>
      </c>
      <c r="AL62" s="25"/>
      <c r="AM62" s="25"/>
      <c r="AN62" s="25"/>
      <c r="AO62" s="25"/>
      <c r="AP62" s="25"/>
      <c r="AQ62" s="25"/>
      <c r="AR62" s="37"/>
      <c r="AS62" s="25"/>
      <c r="AT62" s="25"/>
      <c r="AU62" s="25"/>
      <c r="AV62" s="25"/>
      <c r="AW62" s="25"/>
      <c r="AX62" s="25"/>
      <c r="AY62" s="25"/>
      <c r="AZ62" s="25"/>
    </row>
    <row r="63" spans="1:55" s="21" customFormat="1" ht="18" x14ac:dyDescent="0.5">
      <c r="A63" s="25"/>
      <c r="B63" s="25"/>
      <c r="C63" s="25"/>
      <c r="D63" s="51"/>
      <c r="E63" s="25"/>
      <c r="F63" s="25"/>
      <c r="G63" s="25"/>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25"/>
      <c r="AM63" s="25"/>
      <c r="AN63" s="25"/>
      <c r="AO63" s="25"/>
      <c r="AP63" s="25"/>
      <c r="AQ63" s="25"/>
      <c r="AR63" s="25"/>
      <c r="AS63" s="25"/>
      <c r="AT63" s="25"/>
      <c r="AU63" s="25"/>
      <c r="AV63" s="25"/>
      <c r="AW63" s="25"/>
      <c r="AX63" s="25"/>
      <c r="AY63" s="25"/>
      <c r="AZ63" s="25"/>
    </row>
    <row r="64" spans="1:55" s="21" customFormat="1" ht="13.5" customHeight="1" x14ac:dyDescent="0.5">
      <c r="A64" s="25"/>
      <c r="B64" s="25"/>
      <c r="C64" s="72" t="s">
        <v>43</v>
      </c>
      <c r="D64" s="51" t="s">
        <v>35</v>
      </c>
      <c r="E64" s="25"/>
      <c r="F64" s="25"/>
      <c r="G64" s="25"/>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25"/>
      <c r="AM64" s="25"/>
      <c r="AN64" s="25"/>
      <c r="AO64" s="25"/>
      <c r="AP64" s="25"/>
      <c r="AQ64" s="25"/>
      <c r="AR64" s="25"/>
      <c r="AS64" s="25"/>
      <c r="AT64" s="25"/>
      <c r="AU64" s="25"/>
      <c r="AV64" s="25"/>
      <c r="AW64" s="25"/>
      <c r="AX64" s="25"/>
      <c r="AY64" s="25"/>
      <c r="AZ64" s="25"/>
    </row>
    <row r="65" spans="1:52" s="21" customFormat="1" ht="18" x14ac:dyDescent="0.5">
      <c r="A65" s="25"/>
      <c r="B65" s="25"/>
      <c r="C65" s="72" t="s">
        <v>44</v>
      </c>
      <c r="D65" s="51" t="s">
        <v>35</v>
      </c>
      <c r="E65" s="25"/>
      <c r="F65" s="25"/>
      <c r="G65" s="25"/>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25"/>
      <c r="AM65" s="25"/>
      <c r="AN65" s="25"/>
      <c r="AO65" s="25"/>
      <c r="AP65" s="25"/>
      <c r="AQ65" s="25"/>
      <c r="AR65" s="25"/>
      <c r="AS65" s="25"/>
      <c r="AT65" s="25"/>
      <c r="AU65" s="25"/>
      <c r="AV65" s="25"/>
      <c r="AW65" s="25"/>
      <c r="AX65" s="25"/>
      <c r="AY65" s="25"/>
      <c r="AZ65" s="25"/>
    </row>
    <row r="66" spans="1:52" s="21" customFormat="1" ht="18" x14ac:dyDescent="0.5">
      <c r="A66" s="25"/>
      <c r="B66" s="25"/>
      <c r="C66" s="72" t="s">
        <v>45</v>
      </c>
      <c r="D66" s="51" t="s">
        <v>35</v>
      </c>
      <c r="E66" s="25"/>
      <c r="F66" s="25"/>
      <c r="G66" s="25"/>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25"/>
      <c r="AM66" s="25"/>
      <c r="AN66" s="25"/>
      <c r="AO66" s="25"/>
      <c r="AP66" s="25"/>
      <c r="AQ66" s="25"/>
      <c r="AR66" s="25"/>
      <c r="AS66" s="25"/>
      <c r="AT66" s="25"/>
      <c r="AU66" s="25"/>
      <c r="AV66" s="25"/>
      <c r="AW66" s="25"/>
      <c r="AX66" s="25"/>
      <c r="AY66" s="25"/>
      <c r="AZ66" s="25"/>
    </row>
    <row r="67" spans="1:52" s="21" customFormat="1" ht="18" x14ac:dyDescent="0.5">
      <c r="A67" s="25"/>
      <c r="B67" s="25"/>
      <c r="C67" s="25"/>
      <c r="D67" s="25"/>
      <c r="E67" s="25"/>
      <c r="F67" s="25"/>
      <c r="G67" s="25"/>
      <c r="H67" s="111"/>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row>
    <row r="68" spans="1:52" s="21" customFormat="1" ht="18" x14ac:dyDescent="0.5">
      <c r="A68" s="25"/>
      <c r="B68" s="25"/>
      <c r="C68" s="124" t="str">
        <f>asset3name&amp;": volumes"</f>
        <v>Discharge / ocean outfall upgrade name: volumes</v>
      </c>
      <c r="D68" s="51" t="s">
        <v>35</v>
      </c>
      <c r="E68" s="25"/>
      <c r="F68" s="25"/>
      <c r="G68" s="25"/>
      <c r="H68" s="129">
        <f t="shared" ref="H68:AK68" si="19">INDEX($H70:$AK72,MATCH(volumesensitivity,$C70:$C72,0),MATCH(H$23,years,0))</f>
        <v>0</v>
      </c>
      <c r="I68" s="129">
        <f t="shared" si="19"/>
        <v>0</v>
      </c>
      <c r="J68" s="129">
        <f t="shared" si="19"/>
        <v>0</v>
      </c>
      <c r="K68" s="129">
        <f t="shared" si="19"/>
        <v>0</v>
      </c>
      <c r="L68" s="129">
        <f t="shared" si="19"/>
        <v>0</v>
      </c>
      <c r="M68" s="129">
        <f t="shared" si="19"/>
        <v>0</v>
      </c>
      <c r="N68" s="129">
        <f t="shared" si="19"/>
        <v>0</v>
      </c>
      <c r="O68" s="129">
        <f t="shared" si="19"/>
        <v>0</v>
      </c>
      <c r="P68" s="129">
        <f t="shared" si="19"/>
        <v>0</v>
      </c>
      <c r="Q68" s="129">
        <f t="shared" si="19"/>
        <v>0</v>
      </c>
      <c r="R68" s="129">
        <f t="shared" si="19"/>
        <v>0</v>
      </c>
      <c r="S68" s="129">
        <f t="shared" si="19"/>
        <v>0</v>
      </c>
      <c r="T68" s="129">
        <f t="shared" si="19"/>
        <v>0</v>
      </c>
      <c r="U68" s="129">
        <f t="shared" si="19"/>
        <v>0</v>
      </c>
      <c r="V68" s="129">
        <f t="shared" si="19"/>
        <v>0</v>
      </c>
      <c r="W68" s="129">
        <f t="shared" si="19"/>
        <v>0</v>
      </c>
      <c r="X68" s="129">
        <f t="shared" si="19"/>
        <v>0</v>
      </c>
      <c r="Y68" s="129">
        <f t="shared" si="19"/>
        <v>0</v>
      </c>
      <c r="Z68" s="129">
        <f t="shared" si="19"/>
        <v>0</v>
      </c>
      <c r="AA68" s="129">
        <f t="shared" si="19"/>
        <v>0</v>
      </c>
      <c r="AB68" s="129">
        <f t="shared" si="19"/>
        <v>0</v>
      </c>
      <c r="AC68" s="129">
        <f t="shared" si="19"/>
        <v>0</v>
      </c>
      <c r="AD68" s="129">
        <f t="shared" si="19"/>
        <v>0</v>
      </c>
      <c r="AE68" s="129">
        <f t="shared" si="19"/>
        <v>0</v>
      </c>
      <c r="AF68" s="129">
        <f t="shared" si="19"/>
        <v>0</v>
      </c>
      <c r="AG68" s="129">
        <f t="shared" si="19"/>
        <v>0</v>
      </c>
      <c r="AH68" s="129">
        <f t="shared" si="19"/>
        <v>0</v>
      </c>
      <c r="AI68" s="129">
        <f t="shared" si="19"/>
        <v>0</v>
      </c>
      <c r="AJ68" s="129">
        <f t="shared" si="19"/>
        <v>0</v>
      </c>
      <c r="AK68" s="129">
        <f t="shared" si="19"/>
        <v>0</v>
      </c>
      <c r="AL68" s="25"/>
      <c r="AM68" s="25"/>
      <c r="AN68" s="25"/>
      <c r="AO68" s="25"/>
      <c r="AP68" s="25"/>
      <c r="AQ68" s="25"/>
      <c r="AR68" s="37"/>
      <c r="AS68" s="25"/>
      <c r="AT68" s="25"/>
      <c r="AU68" s="25"/>
      <c r="AV68" s="25"/>
      <c r="AW68" s="25"/>
      <c r="AX68" s="25"/>
      <c r="AY68" s="25"/>
      <c r="AZ68" s="25"/>
    </row>
    <row r="69" spans="1:52" s="21" customFormat="1" ht="18" x14ac:dyDescent="0.5">
      <c r="A69" s="25"/>
      <c r="B69" s="25"/>
      <c r="C69" s="25"/>
      <c r="D69" s="51"/>
      <c r="E69" s="25"/>
      <c r="F69" s="25"/>
      <c r="G69" s="25"/>
      <c r="H69" s="111"/>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25"/>
      <c r="AM69" s="25"/>
      <c r="AN69" s="25"/>
      <c r="AO69" s="25"/>
      <c r="AP69" s="25"/>
      <c r="AQ69" s="25"/>
      <c r="AR69" s="25"/>
      <c r="AS69" s="25"/>
      <c r="AT69" s="25"/>
      <c r="AU69" s="25"/>
      <c r="AV69" s="25"/>
      <c r="AW69" s="25"/>
      <c r="AX69" s="25"/>
      <c r="AY69" s="25"/>
      <c r="AZ69" s="25"/>
    </row>
    <row r="70" spans="1:52" s="21" customFormat="1" ht="18" x14ac:dyDescent="0.5">
      <c r="A70" s="25"/>
      <c r="B70" s="25"/>
      <c r="C70" s="72" t="s">
        <v>43</v>
      </c>
      <c r="D70" s="51" t="s">
        <v>35</v>
      </c>
      <c r="E70" s="25"/>
      <c r="F70" s="25"/>
      <c r="G70" s="25"/>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c r="AF70" s="110"/>
      <c r="AG70" s="110"/>
      <c r="AH70" s="110"/>
      <c r="AI70" s="110"/>
      <c r="AJ70" s="110"/>
      <c r="AK70" s="110"/>
      <c r="AL70" s="25"/>
      <c r="AM70" s="25"/>
      <c r="AN70" s="25"/>
      <c r="AO70" s="25"/>
      <c r="AP70" s="25"/>
      <c r="AQ70" s="25"/>
      <c r="AR70" s="25"/>
      <c r="AS70" s="25"/>
      <c r="AT70" s="25"/>
      <c r="AU70" s="25"/>
      <c r="AV70" s="25"/>
      <c r="AW70" s="25"/>
      <c r="AX70" s="25"/>
      <c r="AY70" s="25"/>
      <c r="AZ70" s="25"/>
    </row>
    <row r="71" spans="1:52" s="21" customFormat="1" ht="18" x14ac:dyDescent="0.5">
      <c r="A71" s="25"/>
      <c r="B71" s="25"/>
      <c r="C71" s="72" t="s">
        <v>44</v>
      </c>
      <c r="D71" s="51" t="s">
        <v>35</v>
      </c>
      <c r="E71" s="25"/>
      <c r="F71" s="25"/>
      <c r="G71" s="25"/>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25"/>
      <c r="AM71" s="25"/>
      <c r="AN71" s="25"/>
      <c r="AO71" s="25"/>
      <c r="AP71" s="25"/>
      <c r="AQ71" s="25"/>
      <c r="AR71" s="25"/>
      <c r="AS71" s="25"/>
      <c r="AT71" s="25"/>
      <c r="AU71" s="25"/>
      <c r="AV71" s="25"/>
      <c r="AW71" s="25"/>
      <c r="AX71" s="25"/>
      <c r="AY71" s="25"/>
      <c r="AZ71" s="25"/>
    </row>
    <row r="72" spans="1:52" s="21" customFormat="1" ht="18" x14ac:dyDescent="0.5">
      <c r="A72" s="25"/>
      <c r="B72" s="25"/>
      <c r="C72" s="72" t="s">
        <v>45</v>
      </c>
      <c r="D72" s="51" t="s">
        <v>35</v>
      </c>
      <c r="E72" s="25"/>
      <c r="F72" s="25"/>
      <c r="G72" s="25"/>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25"/>
      <c r="AM72" s="25"/>
      <c r="AN72" s="25"/>
      <c r="AO72" s="25"/>
      <c r="AP72" s="25"/>
      <c r="AQ72" s="25"/>
      <c r="AR72" s="25"/>
      <c r="AS72" s="25"/>
      <c r="AT72" s="25"/>
      <c r="AU72" s="25"/>
      <c r="AV72" s="25"/>
      <c r="AW72" s="25"/>
      <c r="AX72" s="25"/>
      <c r="AY72" s="25"/>
      <c r="AZ72" s="25"/>
    </row>
    <row r="73" spans="1:52" s="21" customFormat="1" ht="18" x14ac:dyDescent="0.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row>
    <row r="74" spans="1:52" s="21" customFormat="1" ht="32" thickBot="1" x14ac:dyDescent="0.9">
      <c r="A74" s="24"/>
      <c r="B74" s="199" t="s">
        <v>53</v>
      </c>
      <c r="C74" s="199"/>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9"/>
      <c r="AN74" s="210"/>
      <c r="AO74" s="210"/>
      <c r="AP74" s="210"/>
      <c r="AQ74" s="210"/>
      <c r="AR74" s="210"/>
      <c r="AS74" s="210"/>
      <c r="AT74" s="210"/>
      <c r="AU74" s="210"/>
      <c r="AV74" s="210"/>
      <c r="AW74" s="210"/>
      <c r="AX74" s="210"/>
      <c r="AY74" s="210"/>
      <c r="AZ74" s="210"/>
    </row>
    <row r="75" spans="1:52" s="21" customFormat="1" ht="21" customHeight="1" x14ac:dyDescent="0.85">
      <c r="A75" s="37"/>
      <c r="B75" s="37"/>
      <c r="C75" s="53"/>
      <c r="D75" s="37"/>
      <c r="E75" s="37"/>
      <c r="F75" s="37"/>
      <c r="G75" s="37"/>
      <c r="H75" s="25"/>
      <c r="I75" s="25"/>
      <c r="J75" s="25"/>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25"/>
      <c r="AQ75" s="25"/>
      <c r="AR75" s="54"/>
      <c r="AS75" s="54"/>
      <c r="AT75" s="25"/>
      <c r="AU75" s="25"/>
      <c r="AV75" s="25"/>
      <c r="AW75" s="25"/>
      <c r="AX75" s="25"/>
      <c r="AY75" s="25"/>
      <c r="AZ75" s="25"/>
    </row>
    <row r="76" spans="1:52" s="76" customFormat="1" ht="18" x14ac:dyDescent="0.5">
      <c r="A76" s="70"/>
      <c r="B76" s="69" t="s">
        <v>52</v>
      </c>
      <c r="C76" s="49"/>
      <c r="D76" s="71"/>
      <c r="F76" s="85"/>
      <c r="G76" s="85"/>
      <c r="H76" s="25"/>
      <c r="I76" s="25"/>
      <c r="J76" s="25"/>
      <c r="K76" s="37"/>
      <c r="L76" s="85"/>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85"/>
      <c r="AO76" s="85"/>
      <c r="AP76" s="70"/>
      <c r="AQ76" s="70"/>
      <c r="AR76" s="70"/>
      <c r="AS76" s="85"/>
      <c r="AT76" s="85"/>
      <c r="AU76" s="85"/>
      <c r="AV76" s="85"/>
      <c r="AW76" s="85"/>
      <c r="AX76" s="85"/>
      <c r="AY76" s="85"/>
      <c r="AZ76" s="85"/>
    </row>
    <row r="77" spans="1:52" s="21" customFormat="1" ht="31.5" customHeight="1" x14ac:dyDescent="0.5">
      <c r="A77" s="25"/>
      <c r="B77" s="25"/>
      <c r="C77" s="25"/>
      <c r="D77" s="25"/>
      <c r="E77" s="86" t="s">
        <v>54</v>
      </c>
      <c r="F77" s="86" t="s">
        <v>55</v>
      </c>
      <c r="G77" s="25"/>
      <c r="H77" s="25"/>
      <c r="I77" s="25"/>
      <c r="J77" s="25"/>
      <c r="K77" s="37"/>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row>
    <row r="78" spans="1:52" s="21" customFormat="1" ht="18" x14ac:dyDescent="0.5">
      <c r="A78" s="25"/>
      <c r="B78" s="25"/>
      <c r="C78" s="123" t="s">
        <v>100</v>
      </c>
      <c r="D78" s="77" t="s">
        <v>1</v>
      </c>
      <c r="E78" s="136"/>
      <c r="F78" s="78"/>
      <c r="G78" s="80"/>
      <c r="H78" s="25"/>
      <c r="I78" s="25"/>
      <c r="J78" s="25"/>
      <c r="K78" s="37"/>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row>
    <row r="79" spans="1:52" s="21" customFormat="1" ht="18" x14ac:dyDescent="0.5">
      <c r="A79" s="25"/>
      <c r="B79" s="25"/>
      <c r="C79" s="123" t="s">
        <v>101</v>
      </c>
      <c r="D79" s="77" t="s">
        <v>1</v>
      </c>
      <c r="E79" s="136"/>
      <c r="F79" s="78"/>
      <c r="G79" s="80"/>
      <c r="H79" s="25"/>
      <c r="I79" s="25"/>
      <c r="J79" s="25"/>
      <c r="K79" s="37"/>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row>
    <row r="80" spans="1:52" s="21" customFormat="1" ht="18" x14ac:dyDescent="0.5">
      <c r="A80" s="25"/>
      <c r="B80" s="25"/>
      <c r="C80" s="123" t="s">
        <v>102</v>
      </c>
      <c r="D80" s="77" t="s">
        <v>1</v>
      </c>
      <c r="E80" s="136"/>
      <c r="F80" s="78"/>
      <c r="G80" s="80"/>
      <c r="H80" s="25"/>
      <c r="I80" s="25"/>
      <c r="J80" s="25"/>
      <c r="K80" s="37"/>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25"/>
      <c r="AZ80" s="25"/>
    </row>
    <row r="81" spans="1:55" s="67" customFormat="1" ht="18" x14ac:dyDescent="0.5">
      <c r="A81" s="37"/>
      <c r="B81" s="37"/>
      <c r="C81" s="37"/>
      <c r="D81" s="77"/>
      <c r="E81" s="37"/>
      <c r="F81" s="37"/>
      <c r="G81" s="80"/>
      <c r="H81" s="25"/>
      <c r="I81" s="25"/>
      <c r="J81" s="25"/>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row>
    <row r="82" spans="1:55" s="68" customFormat="1" ht="25.5" x14ac:dyDescent="0.7">
      <c r="A82" s="25"/>
      <c r="B82" s="83" t="s">
        <v>56</v>
      </c>
      <c r="C82" s="57"/>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25"/>
      <c r="AN82" s="25"/>
      <c r="AO82" s="25"/>
      <c r="AP82" s="25"/>
      <c r="AQ82" s="25"/>
      <c r="AR82" s="25"/>
      <c r="AS82" s="25"/>
      <c r="AT82" s="25"/>
      <c r="AU82" s="25"/>
      <c r="AV82" s="25"/>
      <c r="AW82" s="25"/>
      <c r="AX82" s="25"/>
      <c r="AY82" s="25"/>
      <c r="AZ82" s="25"/>
      <c r="BA82" s="21"/>
      <c r="BB82" s="21"/>
      <c r="BC82" s="21"/>
    </row>
    <row r="83" spans="1:55" s="79" customFormat="1" ht="18" x14ac:dyDescent="0.5">
      <c r="A83" s="80"/>
      <c r="B83" s="80"/>
      <c r="C83" s="80" t="s">
        <v>57</v>
      </c>
      <c r="D83" s="81"/>
      <c r="E83" s="80"/>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0"/>
      <c r="AY83" s="80"/>
      <c r="AZ83" s="80"/>
    </row>
    <row r="84" spans="1:55" s="79" customFormat="1" ht="18" x14ac:dyDescent="0.5">
      <c r="A84" s="80"/>
      <c r="B84" s="80"/>
      <c r="C84" s="80"/>
      <c r="D84" s="81"/>
      <c r="E84" s="80"/>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row>
    <row r="85" spans="1:55" s="21" customFormat="1" ht="18" x14ac:dyDescent="0.5">
      <c r="A85" s="25"/>
      <c r="B85" s="25"/>
      <c r="C85" s="25"/>
      <c r="D85" s="25"/>
      <c r="E85" s="25"/>
      <c r="F85" s="25"/>
      <c r="G85" s="25"/>
      <c r="H85" s="27" t="s">
        <v>58</v>
      </c>
      <c r="I85" s="27" t="s">
        <v>59</v>
      </c>
      <c r="J85" s="27" t="s">
        <v>60</v>
      </c>
      <c r="K85" s="27" t="s">
        <v>61</v>
      </c>
      <c r="L85" s="27" t="s">
        <v>62</v>
      </c>
      <c r="M85" s="27" t="s">
        <v>63</v>
      </c>
      <c r="N85" s="27" t="s">
        <v>64</v>
      </c>
      <c r="O85" s="27" t="s">
        <v>65</v>
      </c>
      <c r="P85" s="27" t="s">
        <v>66</v>
      </c>
      <c r="Q85" s="27" t="s">
        <v>67</v>
      </c>
      <c r="R85" s="27" t="s">
        <v>68</v>
      </c>
      <c r="S85" s="27" t="s">
        <v>69</v>
      </c>
      <c r="T85" s="27" t="s">
        <v>70</v>
      </c>
      <c r="U85" s="27" t="s">
        <v>71</v>
      </c>
      <c r="V85" s="27" t="s">
        <v>72</v>
      </c>
      <c r="W85" s="27" t="s">
        <v>73</v>
      </c>
      <c r="X85" s="27" t="s">
        <v>74</v>
      </c>
      <c r="Y85" s="27" t="s">
        <v>75</v>
      </c>
      <c r="Z85" s="27" t="s">
        <v>76</v>
      </c>
      <c r="AA85" s="27" t="s">
        <v>77</v>
      </c>
      <c r="AB85" s="27" t="s">
        <v>78</v>
      </c>
      <c r="AC85" s="27" t="s">
        <v>79</v>
      </c>
      <c r="AD85" s="27" t="s">
        <v>80</v>
      </c>
      <c r="AE85" s="27" t="s">
        <v>81</v>
      </c>
      <c r="AF85" s="27" t="s">
        <v>82</v>
      </c>
      <c r="AG85" s="27" t="s">
        <v>83</v>
      </c>
      <c r="AH85" s="27" t="s">
        <v>84</v>
      </c>
      <c r="AI85" s="27" t="s">
        <v>85</v>
      </c>
      <c r="AJ85" s="27" t="s">
        <v>86</v>
      </c>
      <c r="AK85" s="27" t="s">
        <v>87</v>
      </c>
      <c r="AL85" s="27" t="s">
        <v>88</v>
      </c>
      <c r="AM85" s="25"/>
      <c r="AN85" s="25"/>
      <c r="AO85" s="25"/>
      <c r="AP85" s="25"/>
      <c r="AQ85" s="25"/>
      <c r="AR85" s="25"/>
      <c r="AS85" s="25"/>
      <c r="AT85" s="25"/>
      <c r="AU85" s="25"/>
      <c r="AV85" s="25"/>
      <c r="AW85" s="25"/>
      <c r="AX85" s="25"/>
      <c r="AY85" s="25"/>
      <c r="AZ85" s="25"/>
    </row>
    <row r="86" spans="1:55" s="21" customFormat="1" ht="18" x14ac:dyDescent="0.5">
      <c r="A86" s="25"/>
      <c r="B86" s="25"/>
      <c r="C86" s="170" t="str" cm="1">
        <f t="array" ref="C86:C88">assetnames</f>
        <v>Network upgrade name</v>
      </c>
      <c r="D86" s="77" t="s">
        <v>51</v>
      </c>
      <c r="E86" s="52" t="s">
        <v>89</v>
      </c>
      <c r="F86" s="25"/>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37"/>
      <c r="AN86" s="37"/>
      <c r="AO86" s="37"/>
      <c r="AP86" s="37"/>
      <c r="AQ86" s="37"/>
      <c r="AR86" s="37"/>
      <c r="AS86" s="37"/>
      <c r="AT86" s="37"/>
      <c r="AU86" s="37"/>
      <c r="AV86" s="37"/>
      <c r="AW86" s="37"/>
      <c r="AX86" s="37"/>
      <c r="AY86" s="37"/>
      <c r="AZ86" s="37"/>
      <c r="BA86" s="67"/>
      <c r="BB86" s="67"/>
      <c r="BC86" s="67"/>
    </row>
    <row r="87" spans="1:55" s="21" customFormat="1" ht="18" x14ac:dyDescent="0.5">
      <c r="A87" s="25"/>
      <c r="B87" s="25"/>
      <c r="C87" s="50" t="str">
        <v>Sewerage treatment plant upgrade name</v>
      </c>
      <c r="D87" s="77" t="s">
        <v>51</v>
      </c>
      <c r="E87" s="25"/>
      <c r="F87" s="25"/>
      <c r="G87" s="25"/>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25"/>
      <c r="AN87" s="25"/>
      <c r="AO87" s="25"/>
      <c r="AP87" s="25"/>
      <c r="AQ87" s="25"/>
      <c r="AR87" s="25"/>
      <c r="AS87" s="25"/>
      <c r="AT87" s="25"/>
      <c r="AU87" s="25"/>
      <c r="AV87" s="25"/>
      <c r="AW87" s="25"/>
      <c r="AX87" s="25"/>
      <c r="AY87" s="25"/>
      <c r="AZ87" s="25"/>
    </row>
    <row r="88" spans="1:55" s="21" customFormat="1" ht="18" x14ac:dyDescent="0.5">
      <c r="A88" s="25"/>
      <c r="B88" s="25"/>
      <c r="C88" s="50" t="str">
        <v>Discharge / ocean outfall upgrade name</v>
      </c>
      <c r="D88" s="77" t="s">
        <v>51</v>
      </c>
      <c r="E88" s="25"/>
      <c r="F88" s="25"/>
      <c r="G88" s="25"/>
      <c r="H88" s="130"/>
      <c r="I88" s="130"/>
      <c r="J88" s="130"/>
      <c r="K88" s="130"/>
      <c r="L88" s="130"/>
      <c r="M88" s="130"/>
      <c r="N88" s="130"/>
      <c r="O88" s="130"/>
      <c r="P88" s="130"/>
      <c r="Q88" s="130"/>
      <c r="R88" s="130"/>
      <c r="S88" s="130"/>
      <c r="T88" s="130"/>
      <c r="U88" s="130"/>
      <c r="V88" s="130"/>
      <c r="W88" s="130"/>
      <c r="X88" s="130"/>
      <c r="Y88" s="130"/>
      <c r="Z88" s="130"/>
      <c r="AA88" s="130"/>
      <c r="AB88" s="130"/>
      <c r="AC88" s="130"/>
      <c r="AD88" s="130"/>
      <c r="AE88" s="130"/>
      <c r="AF88" s="130"/>
      <c r="AG88" s="130"/>
      <c r="AH88" s="130"/>
      <c r="AI88" s="130"/>
      <c r="AJ88" s="130"/>
      <c r="AK88" s="130"/>
      <c r="AL88" s="130"/>
      <c r="AM88" s="25"/>
      <c r="AN88" s="25"/>
      <c r="AO88" s="25"/>
      <c r="AP88" s="25"/>
      <c r="AQ88" s="25"/>
      <c r="AR88" s="25"/>
      <c r="AS88" s="25"/>
      <c r="AT88" s="25"/>
      <c r="AU88" s="25"/>
      <c r="AV88" s="25"/>
      <c r="AW88" s="25"/>
      <c r="AX88" s="25"/>
      <c r="AY88" s="25"/>
      <c r="AZ88" s="25"/>
    </row>
    <row r="89" spans="1:55" s="67" customFormat="1" ht="18" x14ac:dyDescent="0.5">
      <c r="A89" s="37"/>
      <c r="B89" s="37"/>
      <c r="C89" s="84"/>
      <c r="D89" s="25"/>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25"/>
      <c r="AN89" s="25"/>
      <c r="AO89" s="25"/>
      <c r="AP89" s="25"/>
      <c r="AQ89" s="25"/>
      <c r="AR89" s="25"/>
      <c r="AS89" s="25"/>
      <c r="AT89" s="25"/>
      <c r="AU89" s="25"/>
      <c r="AV89" s="25"/>
      <c r="AW89" s="25"/>
      <c r="AX89" s="25"/>
      <c r="AY89" s="25"/>
      <c r="AZ89" s="25"/>
      <c r="BA89" s="21"/>
      <c r="BB89" s="21"/>
      <c r="BC89" s="21"/>
    </row>
    <row r="90" spans="1:55" s="21" customFormat="1" ht="22" x14ac:dyDescent="0.6">
      <c r="A90" s="25"/>
      <c r="B90" s="25"/>
      <c r="C90" s="50"/>
      <c r="D90" s="36"/>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37"/>
      <c r="AN90" s="37"/>
      <c r="AO90" s="37"/>
      <c r="AP90" s="37"/>
      <c r="AQ90" s="37"/>
      <c r="AR90" s="37"/>
      <c r="AS90" s="37"/>
      <c r="AT90" s="37"/>
      <c r="AU90" s="37"/>
      <c r="AV90" s="37"/>
      <c r="AW90" s="37"/>
      <c r="AX90" s="37"/>
      <c r="AY90" s="37"/>
      <c r="AZ90" s="37"/>
      <c r="BA90" s="67"/>
      <c r="BB90" s="67"/>
      <c r="BC90" s="67"/>
    </row>
    <row r="91" spans="1:55" s="68" customFormat="1" ht="25.5" x14ac:dyDescent="0.7">
      <c r="A91" s="25"/>
      <c r="B91" s="83" t="s">
        <v>90</v>
      </c>
      <c r="C91" s="57"/>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25"/>
      <c r="AN91" s="25"/>
      <c r="AO91" s="25"/>
      <c r="AP91" s="25"/>
      <c r="AQ91" s="25"/>
      <c r="AR91" s="25"/>
      <c r="AS91" s="25"/>
      <c r="AT91" s="25"/>
      <c r="AU91" s="25"/>
      <c r="AV91" s="25"/>
      <c r="AW91" s="25"/>
      <c r="AX91" s="25"/>
      <c r="AY91" s="25"/>
      <c r="AZ91" s="25"/>
      <c r="BA91" s="21"/>
      <c r="BB91" s="21"/>
      <c r="BC91" s="21"/>
    </row>
    <row r="92" spans="1:55" s="79" customFormat="1" ht="18" x14ac:dyDescent="0.5">
      <c r="A92" s="80"/>
      <c r="B92" s="80"/>
      <c r="C92" s="80" t="s">
        <v>91</v>
      </c>
      <c r="D92" s="81"/>
      <c r="E92" s="80"/>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0"/>
      <c r="AW92" s="80"/>
      <c r="AX92" s="80"/>
      <c r="AY92" s="80"/>
      <c r="AZ92" s="80"/>
    </row>
    <row r="93" spans="1:55" s="79" customFormat="1" ht="18" x14ac:dyDescent="0.5">
      <c r="A93" s="80"/>
      <c r="B93" s="80"/>
      <c r="C93" s="80"/>
      <c r="D93" s="81"/>
      <c r="E93" s="80"/>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0"/>
      <c r="AL93" s="80"/>
      <c r="AM93" s="80"/>
      <c r="AN93" s="80"/>
      <c r="AO93" s="80"/>
      <c r="AP93" s="80"/>
      <c r="AQ93" s="80"/>
      <c r="AR93" s="80"/>
      <c r="AS93" s="80"/>
      <c r="AT93" s="80"/>
      <c r="AU93" s="80"/>
      <c r="AV93" s="80"/>
      <c r="AW93" s="80"/>
      <c r="AX93" s="80"/>
      <c r="AY93" s="80"/>
      <c r="AZ93" s="80"/>
    </row>
    <row r="94" spans="1:55" s="68" customFormat="1" ht="22" x14ac:dyDescent="0.6">
      <c r="A94" s="25"/>
      <c r="B94" s="36"/>
      <c r="C94" s="57"/>
      <c r="D94" s="36"/>
      <c r="E94" s="36"/>
      <c r="F94" s="36"/>
      <c r="G94" s="36"/>
      <c r="H94" s="25" t="s">
        <v>58</v>
      </c>
      <c r="I94" s="25" t="s">
        <v>59</v>
      </c>
      <c r="J94" s="25" t="s">
        <v>60</v>
      </c>
      <c r="K94" s="25" t="s">
        <v>61</v>
      </c>
      <c r="L94" s="25" t="s">
        <v>62</v>
      </c>
      <c r="M94" s="25" t="s">
        <v>63</v>
      </c>
      <c r="N94" s="25" t="s">
        <v>64</v>
      </c>
      <c r="O94" s="25" t="s">
        <v>65</v>
      </c>
      <c r="P94" s="25" t="s">
        <v>66</v>
      </c>
      <c r="Q94" s="25" t="s">
        <v>67</v>
      </c>
      <c r="R94" s="25" t="s">
        <v>68</v>
      </c>
      <c r="S94" s="25" t="s">
        <v>69</v>
      </c>
      <c r="T94" s="25" t="s">
        <v>70</v>
      </c>
      <c r="U94" s="25" t="s">
        <v>71</v>
      </c>
      <c r="V94" s="25" t="s">
        <v>72</v>
      </c>
      <c r="W94" s="25" t="s">
        <v>73</v>
      </c>
      <c r="X94" s="25" t="s">
        <v>74</v>
      </c>
      <c r="Y94" s="25" t="s">
        <v>75</v>
      </c>
      <c r="Z94" s="25" t="s">
        <v>76</v>
      </c>
      <c r="AA94" s="25" t="s">
        <v>77</v>
      </c>
      <c r="AB94" s="25" t="s">
        <v>78</v>
      </c>
      <c r="AC94" s="25" t="s">
        <v>79</v>
      </c>
      <c r="AD94" s="25" t="s">
        <v>80</v>
      </c>
      <c r="AE94" s="25" t="s">
        <v>81</v>
      </c>
      <c r="AF94" s="25" t="s">
        <v>82</v>
      </c>
      <c r="AG94" s="25" t="s">
        <v>83</v>
      </c>
      <c r="AH94" s="25" t="s">
        <v>84</v>
      </c>
      <c r="AI94" s="25" t="s">
        <v>85</v>
      </c>
      <c r="AJ94" s="25" t="s">
        <v>86</v>
      </c>
      <c r="AK94" s="25" t="s">
        <v>87</v>
      </c>
      <c r="AL94" s="25" t="s">
        <v>88</v>
      </c>
      <c r="AM94" s="25"/>
      <c r="AN94" s="25"/>
      <c r="AO94" s="25"/>
      <c r="AP94" s="25"/>
      <c r="AQ94" s="25"/>
      <c r="AR94" s="25"/>
      <c r="AS94" s="25"/>
      <c r="AT94" s="25"/>
      <c r="AU94" s="25"/>
      <c r="AV94" s="25"/>
      <c r="AW94" s="25"/>
      <c r="AX94" s="25"/>
      <c r="AY94" s="25"/>
      <c r="AZ94" s="25"/>
      <c r="BA94" s="21"/>
      <c r="BB94" s="21"/>
      <c r="BC94" s="21"/>
    </row>
    <row r="95" spans="1:55" s="21" customFormat="1" ht="22" x14ac:dyDescent="0.6">
      <c r="A95" s="25"/>
      <c r="B95" s="25"/>
      <c r="C95" s="170" t="str" cm="1">
        <f t="array" ref="C95:C97">assetnames</f>
        <v>Network upgrade name</v>
      </c>
      <c r="D95" s="77" t="s">
        <v>51</v>
      </c>
      <c r="E95" s="52" t="s">
        <v>92</v>
      </c>
      <c r="F95" s="36"/>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37"/>
      <c r="AN95" s="37"/>
      <c r="AO95" s="37"/>
      <c r="AP95" s="37"/>
      <c r="AQ95" s="37"/>
      <c r="AR95" s="37"/>
      <c r="AS95" s="37"/>
      <c r="AT95" s="37"/>
      <c r="AU95" s="37"/>
      <c r="AV95" s="37"/>
      <c r="AW95" s="37"/>
      <c r="AX95" s="37"/>
      <c r="AY95" s="37"/>
      <c r="AZ95" s="37"/>
      <c r="BA95" s="67"/>
      <c r="BB95" s="67"/>
      <c r="BC95" s="67"/>
    </row>
    <row r="96" spans="1:55" s="21" customFormat="1" ht="16.5" customHeight="1" x14ac:dyDescent="0.6">
      <c r="A96" s="25"/>
      <c r="B96" s="25"/>
      <c r="C96" s="50" t="str">
        <v>Sewerage treatment plant upgrade name</v>
      </c>
      <c r="D96" s="77" t="s">
        <v>51</v>
      </c>
      <c r="E96" s="36"/>
      <c r="F96" s="36"/>
      <c r="G96" s="40"/>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25"/>
      <c r="AN96" s="25"/>
      <c r="AO96" s="25"/>
      <c r="AP96" s="25"/>
      <c r="AQ96" s="25"/>
      <c r="AR96" s="25"/>
      <c r="AS96" s="25"/>
      <c r="AT96" s="25"/>
      <c r="AU96" s="25"/>
      <c r="AV96" s="25"/>
      <c r="AW96" s="25"/>
      <c r="AX96" s="25"/>
      <c r="AY96" s="25"/>
      <c r="AZ96" s="25"/>
    </row>
    <row r="97" spans="1:52" s="21" customFormat="1" ht="18.649999999999999" customHeight="1" x14ac:dyDescent="0.6">
      <c r="A97" s="25"/>
      <c r="B97" s="25"/>
      <c r="C97" s="50" t="str">
        <v>Discharge / ocean outfall upgrade name</v>
      </c>
      <c r="D97" s="77" t="s">
        <v>51</v>
      </c>
      <c r="E97" s="36"/>
      <c r="F97" s="36"/>
      <c r="G97" s="40"/>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25"/>
      <c r="AN97" s="25"/>
      <c r="AO97" s="25"/>
      <c r="AP97" s="25"/>
      <c r="AQ97" s="25"/>
      <c r="AR97" s="25"/>
      <c r="AS97" s="25"/>
      <c r="AT97" s="25"/>
      <c r="AU97" s="25"/>
      <c r="AV97" s="25"/>
      <c r="AW97" s="25"/>
      <c r="AX97" s="25"/>
      <c r="AY97" s="25"/>
      <c r="AZ97" s="25"/>
    </row>
    <row r="98" spans="1:52" s="67" customFormat="1" ht="22" x14ac:dyDescent="0.6">
      <c r="A98" s="37"/>
      <c r="B98" s="37"/>
      <c r="C98" s="37"/>
      <c r="D98" s="37"/>
      <c r="E98" s="36"/>
      <c r="F98" s="36"/>
      <c r="G98" s="37"/>
      <c r="H98" s="7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row>
    <row r="99" spans="1:52" x14ac:dyDescent="0.4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row>
    <row r="100" spans="1:52" x14ac:dyDescent="0.4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row>
    <row r="101" spans="1:52" x14ac:dyDescent="0.4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row>
    <row r="102" spans="1:52" x14ac:dyDescent="0.4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row>
    <row r="103" spans="1:52" x14ac:dyDescent="0.45">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row>
    <row r="104" spans="1:52" x14ac:dyDescent="0.4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row>
    <row r="105" spans="1:52" x14ac:dyDescent="0.4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row>
    <row r="106" spans="1:52" x14ac:dyDescent="0.4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4eea4d70-1a13-466d-a12c-6ab3287c0178">
      <UserInfo>
        <DisplayName>Mary Schnelle</DisplayName>
        <AccountId>18</AccountId>
        <AccountType/>
      </UserInfo>
      <UserInfo>
        <DisplayName>Matthew Edgerton</DisplayName>
        <AccountId>12</AccountId>
        <AccountType/>
      </UserInfo>
      <UserInfo>
        <DisplayName>Alexus Van der Weyden</DisplayName>
        <AccountId>23</AccountId>
        <AccountType/>
      </UserInfo>
      <UserInfo>
        <DisplayName>Macy Diett</DisplayName>
        <AccountId>26</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8B9DBEDCFB9B4F8585EF9A0B8AB642" ma:contentTypeVersion="6" ma:contentTypeDescription="Create a new document." ma:contentTypeScope="" ma:versionID="b7adba253aee197464da3ce5061283fc">
  <xsd:schema xmlns:xsd="http://www.w3.org/2001/XMLSchema" xmlns:xs="http://www.w3.org/2001/XMLSchema" xmlns:p="http://schemas.microsoft.com/office/2006/metadata/properties" xmlns:ns2="aeec6da8-100a-4379-a005-37a9555004ad" xmlns:ns3="4eea4d70-1a13-466d-a12c-6ab3287c0178" targetNamespace="http://schemas.microsoft.com/office/2006/metadata/properties" ma:root="true" ma:fieldsID="b0851670324dea2a2466f4695f3373e3" ns2:_="" ns3:_="">
    <xsd:import namespace="aeec6da8-100a-4379-a005-37a9555004ad"/>
    <xsd:import namespace="4eea4d70-1a13-466d-a12c-6ab3287c017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ec6da8-100a-4379-a005-37a9555004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ea4d70-1a13-466d-a12c-6ab3287c017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6E46AE-4C86-4E48-9A37-6E900C41F7FB}">
  <ds:schemaRefs>
    <ds:schemaRef ds:uri="http://schemas.microsoft.com/sharepoint/v3/contenttype/forms"/>
  </ds:schemaRefs>
</ds:datastoreItem>
</file>

<file path=customXml/itemProps2.xml><?xml version="1.0" encoding="utf-8"?>
<ds:datastoreItem xmlns:ds="http://schemas.openxmlformats.org/officeDocument/2006/customXml" ds:itemID="{12F01242-9D16-42C8-8155-DAB4A6507F86}">
  <ds:schemaRefs>
    <ds:schemaRef ds:uri="http://schemas.openxmlformats.org/package/2006/metadata/core-properties"/>
    <ds:schemaRef ds:uri="http://purl.org/dc/dcmitype/"/>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purl.org/dc/terms/"/>
    <ds:schemaRef ds:uri="4eea4d70-1a13-466d-a12c-6ab3287c0178"/>
    <ds:schemaRef ds:uri="aeec6da8-100a-4379-a005-37a9555004ad"/>
    <ds:schemaRef ds:uri="http://www.w3.org/XML/1998/namespace"/>
  </ds:schemaRefs>
</ds:datastoreItem>
</file>

<file path=customXml/itemProps3.xml><?xml version="1.0" encoding="utf-8"?>
<ds:datastoreItem xmlns:ds="http://schemas.openxmlformats.org/officeDocument/2006/customXml" ds:itemID="{DBA154FD-F1FC-41CA-BE72-95928BEE0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ec6da8-100a-4379-a005-37a9555004ad"/>
    <ds:schemaRef ds:uri="4eea4d70-1a13-466d-a12c-6ab3287c01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44</vt:i4>
      </vt:variant>
    </vt:vector>
  </HeadingPairs>
  <TitlesOfParts>
    <vt:vector size="50" baseType="lpstr">
      <vt:lpstr>Cover Page</vt:lpstr>
      <vt:lpstr>Dashboard</vt:lpstr>
      <vt:lpstr>Example - Application of LRMC</vt:lpstr>
      <vt:lpstr>Wastewater LRMC</vt:lpstr>
      <vt:lpstr>Expenditure calculations</vt:lpstr>
      <vt:lpstr>Assumptions</vt:lpstr>
      <vt:lpstr>'Cover Page'!_Hlk162262613</vt:lpstr>
      <vt:lpstr>'Cover Page'!_Hlk162262844</vt:lpstr>
      <vt:lpstr>'Cover Page'!_Ref162269366</vt:lpstr>
      <vt:lpstr>'Cover Page'!_Ref162269415</vt:lpstr>
      <vt:lpstr>'Cover Page'!_Toc172466739</vt:lpstr>
      <vt:lpstr>'Cover Page'!_Toc172466740</vt:lpstr>
      <vt:lpstr>asset1name</vt:lpstr>
      <vt:lpstr>asset2name</vt:lpstr>
      <vt:lpstr>asset3name</vt:lpstr>
      <vt:lpstr>assetlives</vt:lpstr>
      <vt:lpstr>assetnames</vt:lpstr>
      <vt:lpstr>baselinecapex</vt:lpstr>
      <vt:lpstr>baselineopex</vt:lpstr>
      <vt:lpstr>baseyear</vt:lpstr>
      <vt:lpstr>capex</vt:lpstr>
      <vt:lpstr>costsensitivity</vt:lpstr>
      <vt:lpstr>days</vt:lpstr>
      <vt:lpstr>dischargeexistingcost</vt:lpstr>
      <vt:lpstr>dischargerate</vt:lpstr>
      <vt:lpstr>dischargevolumes</vt:lpstr>
      <vt:lpstr>discountrate</vt:lpstr>
      <vt:lpstr>firstfinyearend</vt:lpstr>
      <vt:lpstr>firstfinyearstart</vt:lpstr>
      <vt:lpstr>leadtimes</vt:lpstr>
      <vt:lpstr>LRMCapproach</vt:lpstr>
      <vt:lpstr>LRMCnames</vt:lpstr>
      <vt:lpstr>LRMCvalues</vt:lpstr>
      <vt:lpstr>ModelFYStart</vt:lpstr>
      <vt:lpstr>networkexistingcost</vt:lpstr>
      <vt:lpstr>networkvolumes</vt:lpstr>
      <vt:lpstr>opex</vt:lpstr>
      <vt:lpstr>shockdischarge</vt:lpstr>
      <vt:lpstr>shocknetwork</vt:lpstr>
      <vt:lpstr>shockSTP</vt:lpstr>
      <vt:lpstr>STPexistingcost</vt:lpstr>
      <vt:lpstr>STPvolumes</vt:lpstr>
      <vt:lpstr>tippingpointnames</vt:lpstr>
      <vt:lpstr>tippingpoints</vt:lpstr>
      <vt:lpstr>tplus</vt:lpstr>
      <vt:lpstr>volumesensitivity</vt:lpstr>
      <vt:lpstr>volumesnames</vt:lpstr>
      <vt:lpstr>watersaved</vt:lpstr>
      <vt:lpstr>watersavednames</vt:lpstr>
      <vt:lpstr>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Humphrey Cifuentes</dc:creator>
  <cp:lastModifiedBy>Amber McSwiney</cp:lastModifiedBy>
  <dcterms:created xsi:type="dcterms:W3CDTF">2018-07-20T04:36:44Z</dcterms:created>
  <dcterms:modified xsi:type="dcterms:W3CDTF">2025-12-18T05:31:54Z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0x010100908B9DBEDCFB9B4F8585EF9A0B8AB642</vt:lpwstr>
  </property>
</Properties>
</file>